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6"/>
  <workbookPr defaultThemeVersion="202300"/>
  <mc:AlternateContent xmlns:mc="http://schemas.openxmlformats.org/markup-compatibility/2006">
    <mc:Choice Requires="x15">
      <x15ac:absPath xmlns:x15ac="http://schemas.microsoft.com/office/spreadsheetml/2010/11/ac" url="C:\Users\DELL\OneDrive - UTN Reconquista\Escritorio\Planificacion fiscal\"/>
    </mc:Choice>
  </mc:AlternateContent>
  <xr:revisionPtr revIDLastSave="0" documentId="13_ncr:1_{929BAD3D-0924-4C57-AAA3-14A0E7957181}" xr6:coauthVersionLast="47" xr6:coauthVersionMax="47" xr10:uidLastSave="{00000000-0000-0000-0000-000000000000}"/>
  <bookViews>
    <workbookView xWindow="-108" yWindow="-108" windowWidth="23256" windowHeight="12456" xr2:uid="{04C085E6-36B3-44AF-B323-859D7358BEF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8" i="1" l="1"/>
  <c r="S129" i="1"/>
  <c r="S130" i="1"/>
  <c r="S127" i="1"/>
  <c r="S122" i="1"/>
  <c r="S125" i="1"/>
  <c r="S121" i="1"/>
  <c r="S113" i="1"/>
  <c r="S116" i="1"/>
  <c r="S118" i="1"/>
  <c r="S112" i="1"/>
  <c r="D76" i="1"/>
  <c r="G31" i="1"/>
  <c r="D13" i="1"/>
  <c r="L122" i="1"/>
  <c r="L123" i="1" s="1"/>
  <c r="D47" i="1"/>
  <c r="J123" i="1"/>
  <c r="K123" i="1"/>
  <c r="G124" i="1"/>
  <c r="H124" i="1" s="1"/>
  <c r="H113" i="1"/>
  <c r="O114" i="1"/>
  <c r="P114" i="1"/>
  <c r="Q114" i="1"/>
  <c r="R114" i="1"/>
  <c r="D64" i="1"/>
  <c r="D71" i="1" s="1"/>
  <c r="G58" i="1"/>
  <c r="L128" i="1" s="1"/>
  <c r="D59" i="1"/>
  <c r="G59" i="1" s="1"/>
  <c r="G51" i="1"/>
  <c r="D52" i="1"/>
  <c r="G46" i="1"/>
  <c r="J127" i="1" s="1"/>
  <c r="D41" i="1"/>
  <c r="I122" i="1" s="1"/>
  <c r="G30" i="1"/>
  <c r="H127" i="1" s="1"/>
  <c r="D24" i="1"/>
  <c r="G35" i="1" s="1"/>
  <c r="D14" i="1"/>
  <c r="D11" i="1"/>
  <c r="D4" i="1"/>
  <c r="K127" i="1" l="1"/>
  <c r="G53" i="1"/>
  <c r="L130" i="1" s="1"/>
  <c r="G39" i="1"/>
  <c r="I128" i="1"/>
  <c r="G113" i="1"/>
  <c r="G114" i="1" s="1"/>
  <c r="G115" i="1" s="1"/>
  <c r="D16" i="1"/>
  <c r="L112" i="1"/>
  <c r="L114" i="1" s="1"/>
  <c r="L129" i="1"/>
  <c r="D83" i="1"/>
  <c r="D80" i="1"/>
  <c r="N128" i="1" s="1"/>
  <c r="D77" i="1"/>
  <c r="N112" i="1" s="1"/>
  <c r="N114" i="1" s="1"/>
  <c r="D81" i="1"/>
  <c r="G77" i="1" s="1"/>
  <c r="O129" i="1" s="1"/>
  <c r="D79" i="1"/>
  <c r="N116" i="1" s="1"/>
  <c r="D53" i="1"/>
  <c r="D54" i="1" s="1"/>
  <c r="K113" i="1"/>
  <c r="K114" i="1" s="1"/>
  <c r="D48" i="1"/>
  <c r="G47" i="1" s="1"/>
  <c r="J113" i="1"/>
  <c r="J114" i="1" s="1"/>
  <c r="D69" i="1"/>
  <c r="G66" i="1" s="1"/>
  <c r="D68" i="1"/>
  <c r="M128" i="1" s="1"/>
  <c r="D67" i="1"/>
  <c r="M116" i="1" s="1"/>
  <c r="D65" i="1"/>
  <c r="G41" i="1"/>
  <c r="D42" i="1"/>
  <c r="I112" i="1" s="1"/>
  <c r="I114" i="1" s="1"/>
  <c r="D25" i="1"/>
  <c r="D7" i="1"/>
  <c r="G7" i="1" s="1"/>
  <c r="D35" i="1"/>
  <c r="D15" i="1"/>
  <c r="G42" i="1" l="1"/>
  <c r="D20" i="1"/>
  <c r="H130" i="1" s="1"/>
  <c r="G127" i="1"/>
  <c r="G78" i="1"/>
  <c r="P129" i="1" s="1"/>
  <c r="P116" i="1"/>
  <c r="P118" i="1" s="1"/>
  <c r="G116" i="1"/>
  <c r="G117" i="1" s="1"/>
  <c r="H117" i="1" s="1"/>
  <c r="I117" i="1" s="1"/>
  <c r="J117" i="1" s="1"/>
  <c r="K117" i="1" s="1"/>
  <c r="L117" i="1" s="1"/>
  <c r="M117" i="1" s="1"/>
  <c r="N117" i="1" s="1"/>
  <c r="D17" i="1"/>
  <c r="D18" i="1" s="1"/>
  <c r="D19" i="1" s="1"/>
  <c r="D55" i="1"/>
  <c r="G52" i="1" s="1"/>
  <c r="K130" i="1" s="1"/>
  <c r="G43" i="1"/>
  <c r="G44" i="1" s="1"/>
  <c r="J130" i="1" s="1"/>
  <c r="D82" i="1"/>
  <c r="G76" i="1" s="1"/>
  <c r="D66" i="1"/>
  <c r="D70" i="1" s="1"/>
  <c r="M112" i="1"/>
  <c r="M114" i="1" s="1"/>
  <c r="D26" i="1"/>
  <c r="D36" i="1" s="1"/>
  <c r="H112" i="1"/>
  <c r="H114" i="1" s="1"/>
  <c r="H115" i="1" s="1"/>
  <c r="I115" i="1" s="1"/>
  <c r="J115" i="1" s="1"/>
  <c r="K115" i="1" s="1"/>
  <c r="L115" i="1" s="1"/>
  <c r="M115" i="1" s="1"/>
  <c r="N115" i="1" s="1"/>
  <c r="G79" i="1" l="1"/>
  <c r="G130" i="1"/>
  <c r="G65" i="1"/>
  <c r="G67" i="1" s="1"/>
  <c r="G68" i="1"/>
  <c r="N118" i="1"/>
  <c r="N129" i="1"/>
  <c r="G36" i="1"/>
  <c r="G37" i="1"/>
  <c r="I129" i="1" l="1"/>
  <c r="M121" i="1"/>
  <c r="M123" i="1" s="1"/>
  <c r="M124" i="1" s="1"/>
  <c r="N124" i="1" s="1"/>
  <c r="O124" i="1" s="1"/>
  <c r="P124" i="1" s="1"/>
  <c r="G69" i="1"/>
  <c r="M130" i="1" s="1"/>
  <c r="G38" i="1"/>
  <c r="I121" i="1"/>
  <c r="I130" i="1" s="1"/>
  <c r="I123" i="1"/>
  <c r="I124" i="1" s="1"/>
  <c r="J124" i="1" s="1"/>
  <c r="K124" i="1" s="1"/>
  <c r="L124" i="1" s="1"/>
  <c r="M129" i="1"/>
</calcChain>
</file>

<file path=xl/sharedStrings.xml><?xml version="1.0" encoding="utf-8"?>
<sst xmlns="http://schemas.openxmlformats.org/spreadsheetml/2006/main" count="179" uniqueCount="115">
  <si>
    <t>Ñandú Sentado S.A. es una empresa dedicada a la producción agropecuaria y al servicio de transporte, ubicada en la provincia de Santa Fe. En su ejercicio contable, que va desde Abril a Marzo, realiza las siguientes operaciones:</t>
  </si>
  <si>
    <t>1.        El 5 de Abril se compran 20 vacas con cría, a un precio de $1.200.000 cada una. La compra se realiza a Laura, monotributista.</t>
  </si>
  <si>
    <t>2.        El 16 de Abril se paga el 60 % de la deuda adquirida por la compra de las vacas con una trasferencia bancaria.</t>
  </si>
  <si>
    <t>3.        El 25 de Abril se compran fertilizantes por $9.000.000 IVA incluido y semillas de trigo por $ 5.000.000 + IVA. La compra se realiza a Riboldi S.A. quien aplica una percepción de IVA del 3 %. Se paga el total endosando cheques de terceros por $14.000.000 y el resto por transferencia bancaria.</t>
  </si>
  <si>
    <t>4.        El 10 de Mayo vende los terneros, en total 20, los cuales pesaron de promedio 170 kg, sin desbaste, el cual es un 2.5%. En la negociación se pacta un precio de $3.400 por kg + IVA. La venta se realiza a Matias, que es responsable inscripto.</t>
  </si>
  <si>
    <t>6.        El 25 de Junio se cobra el total de la venta de los terneros, se pide un cheque con el monto exacto de la deuda con Laura para poder endosárselo, el resto por transferencia bancaria. Se recibe el pago ese mismo día.</t>
  </si>
  <si>
    <t>8.        El 5 de Julio se compran fardos para suplementar la alimentación animal por un total de $1.000.000 + IVA. La compra se realiza a Carlos, responsable inscripto, se paga mediante transferencia.</t>
  </si>
  <si>
    <t>9.        El 15 de agosto se compran insumos veterinarios por $1.500.000 + IVA a AgroVet S.R.L.. Se realiza un pago del 50 % con un cheque de terceros y el resto mediante transferencia bancaria.</t>
  </si>
  <si>
    <t>10.   El 12 de Septiembre se presta servicio de flete a Facundo, responsable inscripto, por un monto de $1.125.000 + IVA. El pago se realiza mediante transferencia bancaria.</t>
  </si>
  <si>
    <t>11.   El 5 de octubre se vende 35 toneladas de soja al acopio de AgroExport S.A., a un precio de $310.000 por tonelada + IVA. Pago a las 72 hs mediante transferencia bancaria.</t>
  </si>
  <si>
    <t xml:space="preserve">12.   El 20 de noviembre se vende parte de la cosecha del trigo al acopio de Mursia S.A., un total de 150 toneladas a un precio de $240.000 por tonelada + IVA. Pago a las 72 hs mediante transferencia bancaria. </t>
  </si>
  <si>
    <t xml:space="preserve">Datos adicionales: </t>
  </si>
  <si>
    <t>·        No posee remanentes de saldo técnico ni de libre disponibilidad.</t>
  </si>
  <si>
    <t>·        Todas las operaciones se realizan con terceros radicados en la provincia de Santa Fe.</t>
  </si>
  <si>
    <t>·        Situación en SCORING: Estado 2.</t>
  </si>
  <si>
    <t>·        Contribuyente local en IIBB.</t>
  </si>
  <si>
    <t>·        Alícuota SIRCREB 1%.</t>
  </si>
  <si>
    <t>·        Alícuota IIBB actividad de transporte 1,5%.</t>
  </si>
  <si>
    <t>·        Actividades de alta:</t>
  </si>
  <si>
    <t>o   CRÍA DE GANADO BOVINO, EXCEPTO LA REALIZADA EN CABAÑAS Y PARA LA PRODUCCIÓN DE LECHE</t>
  </si>
  <si>
    <t>o   SERVICIO DE TRANSPORTE AUTOMOTOR DE MERCADERÍAS A GRANEL N.C.P.</t>
  </si>
  <si>
    <t>o   CULTIVO DE TRIGO</t>
  </si>
  <si>
    <t>o   CULTIVO DE SOJA</t>
  </si>
  <si>
    <t>Determinar:</t>
  </si>
  <si>
    <t>Ø  Saldos de IVA técnico y de IVA libre disponibilidad.</t>
  </si>
  <si>
    <t>Ø  ¿Pude optar por la opción de pago anual de IVA? Justificar.</t>
  </si>
  <si>
    <t>Ø  Total de impuesto a los créditos y débitos.</t>
  </si>
  <si>
    <t>Ø  Montos de retenciones realizadas.</t>
  </si>
  <si>
    <t>Ø  Montos de retenciones sufridas.</t>
  </si>
  <si>
    <t>Ø  Total retenciones mediante SIRCREB (en este caso cuando haya saldo a favor se suspende la retención hasta que se consuma el mismo).</t>
  </si>
  <si>
    <t>Ø  Total de impuesto a los ingresos brutos a pagar (tener en cuenta pagos a cuenta SIRCREB).</t>
  </si>
  <si>
    <t>Ø  En las operaciones 3, 6 y 9, determinen el beneficio de endosar los cheques. Justificar.</t>
  </si>
  <si>
    <t>20 Vacas x $1.200.000=</t>
  </si>
  <si>
    <t>60 % de $24.000.000=</t>
  </si>
  <si>
    <t>Imp. Deb.=</t>
  </si>
  <si>
    <t>Monto neto fertilizantes =</t>
  </si>
  <si>
    <t>Monto neto Semillas =</t>
  </si>
  <si>
    <t>IVA Fertilizante(10.5%) =</t>
  </si>
  <si>
    <t>IVA Semillas(21%) =</t>
  </si>
  <si>
    <t>Percepcion =</t>
  </si>
  <si>
    <t>Total a pagar =</t>
  </si>
  <si>
    <t>Transferencia=</t>
  </si>
  <si>
    <t>Retencion realizada=</t>
  </si>
  <si>
    <t>20 terneros x 170 x 0.975 x $3.400 =</t>
  </si>
  <si>
    <t>IVA =</t>
  </si>
  <si>
    <t>Total final=</t>
  </si>
  <si>
    <t>Cheque=</t>
  </si>
  <si>
    <t>Retencion sufrida=</t>
  </si>
  <si>
    <t>Tansferencia=</t>
  </si>
  <si>
    <t>Imp. Cred.=</t>
  </si>
  <si>
    <t>SIRCREB=</t>
  </si>
  <si>
    <t>Monto neto=</t>
  </si>
  <si>
    <t>IVA=</t>
  </si>
  <si>
    <t>Retencion=</t>
  </si>
  <si>
    <t>Retencion =</t>
  </si>
  <si>
    <t>Toneladas entregadas=</t>
  </si>
  <si>
    <t>Subtotal=</t>
  </si>
  <si>
    <t>Retencion IVA =</t>
  </si>
  <si>
    <t>Retencion ganancias sufriadas =</t>
  </si>
  <si>
    <t>Transferencia al CBU a los 30 días=</t>
  </si>
  <si>
    <t>Transferencia a las 72 hs=</t>
  </si>
  <si>
    <t>Devolucion de Afip a los 45 días=</t>
  </si>
  <si>
    <t>Imp. Cred.</t>
  </si>
  <si>
    <t>Imp. Cred. Octubre=</t>
  </si>
  <si>
    <t>Imp. Cred. Noviembre=</t>
  </si>
  <si>
    <t>Total =</t>
  </si>
  <si>
    <t>Transferenciaa las 72 hs =</t>
  </si>
  <si>
    <t>Imp. Cred. Diciembre</t>
  </si>
  <si>
    <t xml:space="preserve">Imp. Cred. Enero </t>
  </si>
  <si>
    <t>Imp. Cred. Noviembre</t>
  </si>
  <si>
    <t>Total=</t>
  </si>
  <si>
    <t>ABRIL</t>
  </si>
  <si>
    <t>MAYO</t>
  </si>
  <si>
    <t>JUNIO</t>
  </si>
  <si>
    <t>JULIO</t>
  </si>
  <si>
    <t>AGOSTO</t>
  </si>
  <si>
    <t>SEPTIEMBRE</t>
  </si>
  <si>
    <t>OCTUBRE</t>
  </si>
  <si>
    <t>NOVIEMBRE</t>
  </si>
  <si>
    <t>DICIEMBRE</t>
  </si>
  <si>
    <t>ENERO</t>
  </si>
  <si>
    <t>FEBRERO</t>
  </si>
  <si>
    <t>MARZO</t>
  </si>
  <si>
    <t>IVA debito</t>
  </si>
  <si>
    <t>IVA credito</t>
  </si>
  <si>
    <t xml:space="preserve">Saldo tecnico </t>
  </si>
  <si>
    <t xml:space="preserve">Saldo tecnico acumulado </t>
  </si>
  <si>
    <t>Saldo de L.D.</t>
  </si>
  <si>
    <t xml:space="preserve">Saldo de L.D. acumulado </t>
  </si>
  <si>
    <t>A pagar</t>
  </si>
  <si>
    <t>SIRCREB (1%)</t>
  </si>
  <si>
    <t>IIBB  (1,5%)</t>
  </si>
  <si>
    <t>Saldo a favor del contribuyente</t>
  </si>
  <si>
    <t xml:space="preserve">Saldo a favor acumulado </t>
  </si>
  <si>
    <t>IIBB a pagar</t>
  </si>
  <si>
    <t xml:space="preserve">Retenciones de ganancias realizadas </t>
  </si>
  <si>
    <t>Retenciones de ganancias sufridas</t>
  </si>
  <si>
    <t>Imp. Deb.</t>
  </si>
  <si>
    <t xml:space="preserve">Beneficios de endosar ch: </t>
  </si>
  <si>
    <t>Ej. 6</t>
  </si>
  <si>
    <t>Falta imp. Deb.</t>
  </si>
  <si>
    <t>5.        El 14 de Mayo se pagan servicios de roturado de suelos por un total de $10.000.000 + IVA, el servicio lo realiza Mariano, responsable inscripto.El pago se realiza mediante transferencia bancaria.</t>
  </si>
  <si>
    <t>7.        El 16 de Junio se presta servicio de flete a Marcos, responsable inscripto, por un monto de $3.000.000 IVA incluido. El cobro se realiza mediante transferencia bancaria.</t>
  </si>
  <si>
    <t>(Abril)</t>
  </si>
  <si>
    <t>(Mayo)</t>
  </si>
  <si>
    <t>(Junio)</t>
  </si>
  <si>
    <t>(Julio)</t>
  </si>
  <si>
    <t>Imp. Deb..=</t>
  </si>
  <si>
    <t>(Agosto)</t>
  </si>
  <si>
    <t>(Septiembre)</t>
  </si>
  <si>
    <t>Ahorro en impuesto a los debitos y cerdrito bancarios, ya que no lo deposita y no realiza una transferencia.</t>
  </si>
  <si>
    <t xml:space="preserve">Mismos benesficios que en el punto 3, ademas evito ret. SIRCREB </t>
  </si>
  <si>
    <t>Ej. 3,9</t>
  </si>
  <si>
    <t xml:space="preserve">Se agrego lo lo visto en clase de corrección, sobre el ingreso minimo en IIBB, teniendo en cuenta un minimo de 702 modulos tributarios a un valor de $10. </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</si>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</sst>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quot;$&quot;\ * #,##0.00_-;\-&quot;$&quot;\ * #,##0.00_-;_-&quot;$&quot;\ * &quot;-&quot;??_-;_-@_-"/>
  </numFmts>
  <fonts count="6">
    <font>
      <sz val="11"/>
      <color theme="1"/>
      <name val="Roboto"/>
      <family val="2"/>
    </font>
    <font>
      <sz val="11"/>
      <color theme="1"/>
      <name val="Roboto"/>
      <family val="2"/>
    </font>
    <font>
      <sz val="11"/>
      <color theme="1"/>
      <name val="Roboto "/>
      <family val="2"/>
    </font>
    <font>
      <b/>
      <sz val="11"/>
      <color theme="1"/>
      <name val="Roboto "/>
    </font>
    <font>
      <sz val="8"/>
      <name val="Roboto"/>
      <family val="2"/>
    </font>
    <font>
      <b/>
      <sz val="11"/>
      <color theme="1"/>
      <name val="Roboto"/>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cellStyleXfs>
  <cellXfs count="107">
    <xf numFmtId="0" fontId="0" fillId="0" borderId="0" xfId="0"/>
    <xf numFmtId="44" fontId="0" fillId="0" borderId="1" xfId="1" applyFont="1" applyBorder="1"/>
    <xf numFmtId="0" fontId="0" fillId="0" borderId="1" xfId="0" applyBorder="1"/>
    <xf numFmtId="0" fontId="0" fillId="0" borderId="0" xfId="0" applyAlignment="1">
      <alignment horizontal="right"/>
    </xf>
    <xf numFmtId="8" fontId="0" fillId="0" borderId="1" xfId="0" applyNumberFormat="1" applyBorder="1"/>
    <xf numFmtId="0" fontId="2" fillId="0" borderId="1" xfId="2" applyBorder="1" applyAlignment="1">
      <alignment horizontal="right"/>
    </xf>
    <xf numFmtId="44" fontId="2" fillId="0" borderId="1" xfId="3" applyFont="1" applyBorder="1"/>
    <xf numFmtId="44" fontId="2" fillId="2" borderId="1" xfId="3" applyFont="1" applyFill="1" applyBorder="1"/>
    <xf numFmtId="0" fontId="0" fillId="0" borderId="0" xfId="0" applyAlignment="1">
      <alignment horizontal="center"/>
    </xf>
    <xf numFmtId="44" fontId="0" fillId="0" borderId="1" xfId="1" applyFont="1" applyBorder="1" applyAlignment="1">
      <alignment horizontal="center"/>
    </xf>
    <xf numFmtId="44" fontId="0" fillId="0" borderId="1" xfId="0" applyNumberFormat="1" applyBorder="1" applyAlignment="1">
      <alignment horizontal="center"/>
    </xf>
    <xf numFmtId="44" fontId="0" fillId="0" borderId="4" xfId="0" applyNumberFormat="1" applyBorder="1" applyAlignment="1">
      <alignment horizontal="center"/>
    </xf>
    <xf numFmtId="44" fontId="0" fillId="0" borderId="0" xfId="0" applyNumberFormat="1" applyAlignment="1">
      <alignment horizontal="center"/>
    </xf>
    <xf numFmtId="44" fontId="2" fillId="0" borderId="1" xfId="3" applyFont="1" applyBorder="1" applyAlignment="1">
      <alignment horizontal="center"/>
    </xf>
    <xf numFmtId="44" fontId="2" fillId="0" borderId="1" xfId="2" applyNumberFormat="1" applyBorder="1" applyAlignment="1">
      <alignment horizontal="center"/>
    </xf>
    <xf numFmtId="8" fontId="0" fillId="0" borderId="0" xfId="0" applyNumberFormat="1" applyAlignment="1">
      <alignment horizontal="center"/>
    </xf>
    <xf numFmtId="8" fontId="0" fillId="0" borderId="1" xfId="0" applyNumberFormat="1" applyBorder="1" applyAlignment="1">
      <alignment horizont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44" fontId="0" fillId="0" borderId="1" xfId="1" applyFont="1" applyBorder="1" applyAlignment="1">
      <alignment horizontal="right"/>
    </xf>
    <xf numFmtId="44" fontId="0" fillId="0" borderId="1" xfId="0" applyNumberFormat="1" applyBorder="1" applyAlignment="1">
      <alignment horizontal="right"/>
    </xf>
    <xf numFmtId="0" fontId="0" fillId="0" borderId="1" xfId="0" applyBorder="1" applyAlignment="1">
      <alignment horizontal="center"/>
    </xf>
    <xf numFmtId="44" fontId="2" fillId="0" borderId="1" xfId="4" applyFont="1" applyBorder="1"/>
    <xf numFmtId="44" fontId="0" fillId="0" borderId="1" xfId="0" applyNumberFormat="1" applyBorder="1"/>
    <xf numFmtId="49" fontId="0" fillId="0" borderId="0" xfId="0" applyNumberFormat="1" applyAlignment="1">
      <alignment horizontal="right"/>
    </xf>
    <xf numFmtId="0" fontId="0" fillId="0" borderId="7" xfId="0" applyBorder="1" applyAlignment="1">
      <alignment horizontal="right"/>
    </xf>
    <xf numFmtId="0" fontId="0" fillId="0" borderId="8" xfId="0" applyBorder="1"/>
    <xf numFmtId="0" fontId="0" fillId="0" borderId="9" xfId="0" applyBorder="1"/>
    <xf numFmtId="0" fontId="3" fillId="0" borderId="10" xfId="0" applyFont="1" applyBorder="1" applyAlignment="1">
      <alignment horizontal="right"/>
    </xf>
    <xf numFmtId="0" fontId="0" fillId="0" borderId="6" xfId="0" applyBorder="1"/>
    <xf numFmtId="44" fontId="0" fillId="0" borderId="11" xfId="0" applyNumberFormat="1" applyBorder="1"/>
    <xf numFmtId="0" fontId="0" fillId="0" borderId="11" xfId="0" applyBorder="1"/>
    <xf numFmtId="0" fontId="3" fillId="0" borderId="12" xfId="0" applyFont="1" applyBorder="1" applyAlignment="1">
      <alignment horizontal="right"/>
    </xf>
    <xf numFmtId="44" fontId="0" fillId="0" borderId="5" xfId="0" applyNumberFormat="1" applyBorder="1"/>
    <xf numFmtId="0" fontId="3" fillId="0" borderId="13" xfId="0" applyFont="1" applyBorder="1" applyAlignment="1">
      <alignment horizontal="right"/>
    </xf>
    <xf numFmtId="0" fontId="0" fillId="0" borderId="14" xfId="0" applyBorder="1"/>
    <xf numFmtId="0" fontId="0" fillId="0" borderId="15" xfId="0" applyBorder="1"/>
    <xf numFmtId="44" fontId="0" fillId="0" borderId="15" xfId="0" applyNumberFormat="1" applyBorder="1"/>
    <xf numFmtId="0" fontId="0" fillId="0" borderId="16" xfId="0" applyBorder="1"/>
    <xf numFmtId="0" fontId="0" fillId="0" borderId="17" xfId="0" applyBorder="1"/>
    <xf numFmtId="44" fontId="0" fillId="0" borderId="21" xfId="0" applyNumberFormat="1" applyBorder="1" applyAlignment="1">
      <alignment horizontal="right"/>
    </xf>
    <xf numFmtId="44" fontId="0" fillId="0" borderId="22" xfId="0" applyNumberFormat="1" applyBorder="1" applyAlignment="1">
      <alignment horizontal="right"/>
    </xf>
    <xf numFmtId="8" fontId="0" fillId="0" borderId="11" xfId="0" applyNumberFormat="1" applyBorder="1"/>
    <xf numFmtId="8" fontId="0" fillId="0" borderId="15" xfId="0" applyNumberFormat="1" applyBorder="1"/>
    <xf numFmtId="44" fontId="0" fillId="0" borderId="18" xfId="1" applyFont="1" applyBorder="1"/>
    <xf numFmtId="44" fontId="0" fillId="0" borderId="19" xfId="1" applyFont="1" applyBorder="1"/>
    <xf numFmtId="44" fontId="0" fillId="0" borderId="20" xfId="1" applyFont="1" applyBorder="1"/>
    <xf numFmtId="0" fontId="0" fillId="3" borderId="7" xfId="0" applyFill="1" applyBorder="1"/>
    <xf numFmtId="0" fontId="0" fillId="3" borderId="23" xfId="0" applyFill="1" applyBorder="1"/>
    <xf numFmtId="0" fontId="0" fillId="3" borderId="23" xfId="0" applyFill="1" applyBorder="1" applyAlignment="1">
      <alignment horizontal="right"/>
    </xf>
    <xf numFmtId="0" fontId="0" fillId="3" borderId="23" xfId="0" applyFill="1" applyBorder="1" applyAlignment="1">
      <alignment horizontal="center"/>
    </xf>
    <xf numFmtId="0" fontId="0" fillId="3" borderId="24" xfId="0" applyFill="1" applyBorder="1"/>
    <xf numFmtId="0" fontId="0" fillId="3" borderId="25" xfId="0" applyFill="1" applyBorder="1"/>
    <xf numFmtId="0" fontId="0" fillId="3" borderId="0" xfId="0" applyFill="1"/>
    <xf numFmtId="0" fontId="0" fillId="3" borderId="0" xfId="0" applyFill="1" applyAlignment="1">
      <alignment horizontal="right"/>
    </xf>
    <xf numFmtId="0" fontId="0" fillId="3" borderId="0" xfId="0" applyFill="1" applyAlignment="1">
      <alignment horizontal="center"/>
    </xf>
    <xf numFmtId="0" fontId="0" fillId="3" borderId="26" xfId="0" applyFill="1" applyBorder="1"/>
    <xf numFmtId="0" fontId="0" fillId="3" borderId="27" xfId="0" applyFill="1" applyBorder="1"/>
    <xf numFmtId="0" fontId="0" fillId="3" borderId="28" xfId="0" applyFill="1" applyBorder="1"/>
    <xf numFmtId="0" fontId="0" fillId="3" borderId="28" xfId="0" applyFill="1" applyBorder="1" applyAlignment="1">
      <alignment horizontal="right"/>
    </xf>
    <xf numFmtId="0" fontId="0" fillId="3" borderId="28" xfId="0" applyFill="1" applyBorder="1" applyAlignment="1">
      <alignment horizontal="center"/>
    </xf>
    <xf numFmtId="0" fontId="0" fillId="3" borderId="29" xfId="0" applyFill="1" applyBorder="1"/>
    <xf numFmtId="44" fontId="0" fillId="0" borderId="0" xfId="0" applyNumberFormat="1"/>
    <xf numFmtId="8" fontId="0" fillId="0" borderId="5" xfId="0" applyNumberFormat="1" applyBorder="1"/>
    <xf numFmtId="8" fontId="0" fillId="0" borderId="22" xfId="0" applyNumberFormat="1" applyBorder="1" applyAlignment="1">
      <alignment horizontal="right"/>
    </xf>
    <xf numFmtId="8" fontId="0" fillId="0" borderId="21" xfId="0" applyNumberFormat="1" applyBorder="1" applyAlignment="1">
      <alignment horizontal="right"/>
    </xf>
    <xf numFmtId="0" fontId="0" fillId="0" borderId="23" xfId="0" applyBorder="1" applyAlignment="1">
      <alignment horizontal="right"/>
    </xf>
    <xf numFmtId="0" fontId="3" fillId="0" borderId="32" xfId="0" applyFont="1" applyBorder="1" applyAlignment="1">
      <alignment horizontal="right"/>
    </xf>
    <xf numFmtId="0" fontId="3" fillId="0" borderId="33" xfId="0" applyFont="1" applyBorder="1" applyAlignment="1">
      <alignment horizontal="right"/>
    </xf>
    <xf numFmtId="0" fontId="3" fillId="0" borderId="34" xfId="0" applyFont="1" applyBorder="1" applyAlignment="1">
      <alignment horizontal="right"/>
    </xf>
    <xf numFmtId="44" fontId="0" fillId="0" borderId="35" xfId="1" applyFont="1" applyBorder="1"/>
    <xf numFmtId="44" fontId="0" fillId="0" borderId="3" xfId="1" applyFont="1" applyBorder="1"/>
    <xf numFmtId="44" fontId="0" fillId="0" borderId="36" xfId="0" applyNumberFormat="1" applyBorder="1" applyAlignment="1">
      <alignment horizontal="right"/>
    </xf>
    <xf numFmtId="8" fontId="0" fillId="0" borderId="36" xfId="0" applyNumberFormat="1" applyBorder="1" applyAlignment="1">
      <alignment horizontal="right"/>
    </xf>
    <xf numFmtId="0" fontId="0" fillId="0" borderId="37" xfId="0" applyBorder="1"/>
    <xf numFmtId="0" fontId="0" fillId="0" borderId="31" xfId="0" applyBorder="1"/>
    <xf numFmtId="0" fontId="0" fillId="0" borderId="2" xfId="0" applyBorder="1"/>
    <xf numFmtId="44" fontId="0" fillId="0" borderId="33" xfId="0" applyNumberFormat="1" applyBorder="1"/>
    <xf numFmtId="0" fontId="0" fillId="0" borderId="38" xfId="0" applyBorder="1"/>
    <xf numFmtId="44" fontId="5" fillId="0" borderId="12" xfId="1" applyFont="1" applyBorder="1" applyAlignment="1">
      <alignment horizontal="center"/>
    </xf>
    <xf numFmtId="44" fontId="5" fillId="0" borderId="13" xfId="1" applyFont="1" applyBorder="1" applyAlignment="1">
      <alignment horizontal="center"/>
    </xf>
    <xf numFmtId="44" fontId="0" fillId="0" borderId="39" xfId="1" applyFont="1" applyBorder="1"/>
    <xf numFmtId="44" fontId="0" fillId="0" borderId="2" xfId="1" applyFont="1" applyBorder="1"/>
    <xf numFmtId="44" fontId="0" fillId="0" borderId="30" xfId="1" applyFont="1" applyBorder="1"/>
    <xf numFmtId="0" fontId="0" fillId="0" borderId="40" xfId="0" applyBorder="1"/>
    <xf numFmtId="44" fontId="0" fillId="0" borderId="41" xfId="0" applyNumberFormat="1" applyBorder="1" applyAlignment="1">
      <alignment horizontal="right"/>
    </xf>
    <xf numFmtId="44" fontId="0" fillId="0" borderId="33" xfId="0" applyNumberFormat="1" applyBorder="1" applyAlignment="1">
      <alignment horizontal="right"/>
    </xf>
    <xf numFmtId="44" fontId="0" fillId="0" borderId="34" xfId="0" applyNumberFormat="1" applyBorder="1" applyAlignment="1">
      <alignment horizontal="right"/>
    </xf>
    <xf numFmtId="0" fontId="5" fillId="0" borderId="10" xfId="0" applyFont="1" applyBorder="1" applyAlignment="1">
      <alignment horizontal="center"/>
    </xf>
    <xf numFmtId="0" fontId="5" fillId="0" borderId="0" xfId="0" applyFont="1"/>
    <xf numFmtId="44" fontId="5" fillId="0" borderId="12" xfId="0" applyNumberFormat="1" applyFont="1" applyBorder="1" applyAlignment="1">
      <alignment horizontal="center"/>
    </xf>
    <xf numFmtId="44" fontId="5" fillId="0" borderId="42" xfId="0" applyNumberFormat="1" applyFont="1" applyBorder="1" applyAlignment="1">
      <alignment horizontal="center"/>
    </xf>
    <xf numFmtId="44" fontId="5" fillId="0" borderId="13" xfId="0" applyNumberFormat="1" applyFont="1" applyBorder="1" applyAlignment="1">
      <alignment horizontal="center"/>
    </xf>
    <xf numFmtId="0" fontId="0" fillId="0" borderId="1" xfId="0" applyBorder="1" applyAlignment="1">
      <alignment horizontal="left" vertical="center" wrapText="1"/>
    </xf>
    <xf numFmtId="0" fontId="0" fillId="0" borderId="30" xfId="0" applyBorder="1" applyAlignment="1">
      <alignment horizontal="center" wrapText="1"/>
    </xf>
    <xf numFmtId="0" fontId="0" fillId="0" borderId="4" xfId="0" applyBorder="1" applyAlignment="1">
      <alignment horizontal="center" wrapText="1"/>
    </xf>
    <xf numFmtId="0" fontId="0" fillId="0" borderId="31" xfId="0"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44" fontId="0" fillId="0" borderId="30" xfId="1" applyFont="1" applyBorder="1" applyAlignment="1">
      <alignment horizontal="center" wrapText="1"/>
    </xf>
    <xf numFmtId="44" fontId="0" fillId="0" borderId="4" xfId="1" applyFont="1" applyBorder="1" applyAlignment="1">
      <alignment horizontal="center" wrapText="1"/>
    </xf>
    <xf numFmtId="44" fontId="0" fillId="0" borderId="31" xfId="1" applyFont="1" applyBorder="1" applyAlignment="1">
      <alignment horizontal="center" wrapText="1"/>
    </xf>
    <xf numFmtId="44" fontId="0" fillId="0" borderId="6" xfId="1" applyFont="1" applyBorder="1" applyAlignment="1">
      <alignment horizontal="center" wrapText="1"/>
    </xf>
    <xf numFmtId="0" fontId="0" fillId="0" borderId="3" xfId="0" applyBorder="1" applyAlignment="1">
      <alignment horizontal="center" vertical="center"/>
    </xf>
    <xf numFmtId="0" fontId="0" fillId="0" borderId="11" xfId="0" applyBorder="1" applyAlignment="1">
      <alignment horizontal="center" vertical="center"/>
    </xf>
  </cellXfs>
  <cellStyles count="5">
    <cellStyle name="Moneda" xfId="1" builtinId="4"/>
    <cellStyle name="Moneda 2" xfId="3" xr:uid="{130058CE-2D98-4F31-836C-C95F2A7F9348}"/>
    <cellStyle name="Moneda 3" xfId="4" xr:uid="{FA422449-B296-48CC-BBC4-89407A3DD63D}"/>
    <cellStyle name="Normal" xfId="0" builtinId="0"/>
    <cellStyle name="Normal 2" xfId="2" xr:uid="{5D21C9F8-8F34-4729-AAA4-F07BC29790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179CE-A3E5-4449-9BB5-989EEF3925D5}">
  <dimension ref="A1:T131"/>
  <sheetViews>
    <sheetView tabSelected="1" topLeftCell="A16" workbookViewId="0">
      <selection activeCell="S133" sqref="S133"/>
    </sheetView>
  </sheetViews>
  <sheetFormatPr baseColWidth="10" defaultRowHeight="14.4"/>
  <cols>
    <col min="2" max="2" width="13.59765625" bestFit="1" customWidth="1"/>
    <col min="3" max="3" width="29.796875" style="3" bestFit="1" customWidth="1"/>
    <col min="4" max="4" width="15.09765625" style="8" bestFit="1" customWidth="1"/>
    <col min="5" max="5" width="14.59765625" bestFit="1" customWidth="1"/>
    <col min="6" max="6" width="34.09765625" bestFit="1" customWidth="1"/>
    <col min="7" max="7" width="14.59765625" bestFit="1" customWidth="1"/>
    <col min="8" max="14" width="13.59765625" bestFit="1" customWidth="1"/>
    <col min="15" max="16" width="12.59765625" bestFit="1" customWidth="1"/>
    <col min="19" max="19" width="14" bestFit="1" customWidth="1"/>
    <col min="20" max="20" width="13.59765625" bestFit="1" customWidth="1"/>
  </cols>
  <sheetData>
    <row r="1" spans="1:7">
      <c r="A1" t="s">
        <v>0</v>
      </c>
    </row>
    <row r="3" spans="1:7">
      <c r="A3" t="s">
        <v>1</v>
      </c>
    </row>
    <row r="4" spans="1:7">
      <c r="C4" s="17" t="s">
        <v>32</v>
      </c>
      <c r="D4" s="9">
        <f>20*1200000</f>
        <v>24000000</v>
      </c>
    </row>
    <row r="6" spans="1:7">
      <c r="A6" t="s">
        <v>2</v>
      </c>
    </row>
    <row r="7" spans="1:7">
      <c r="C7" s="17" t="s">
        <v>33</v>
      </c>
      <c r="D7" s="9">
        <f>+D4*0.6</f>
        <v>14400000</v>
      </c>
      <c r="F7" s="2" t="s">
        <v>34</v>
      </c>
      <c r="G7" s="1">
        <f>+D7*0.006</f>
        <v>86400</v>
      </c>
    </row>
    <row r="9" spans="1:7">
      <c r="A9" t="s">
        <v>3</v>
      </c>
    </row>
    <row r="11" spans="1:7">
      <c r="C11" s="17" t="s">
        <v>35</v>
      </c>
      <c r="D11" s="9">
        <f>9000000/1.105</f>
        <v>8144796.3800904974</v>
      </c>
    </row>
    <row r="12" spans="1:7">
      <c r="C12" s="17" t="s">
        <v>36</v>
      </c>
      <c r="D12" s="9">
        <v>5000000</v>
      </c>
    </row>
    <row r="13" spans="1:7">
      <c r="C13" s="17" t="s">
        <v>37</v>
      </c>
      <c r="D13" s="9">
        <f>9000000-9000000/1.105</f>
        <v>855203.61990950257</v>
      </c>
    </row>
    <row r="14" spans="1:7">
      <c r="C14" s="17" t="s">
        <v>38</v>
      </c>
      <c r="D14" s="9">
        <f>5000000*0.21</f>
        <v>1050000</v>
      </c>
    </row>
    <row r="15" spans="1:7">
      <c r="C15" s="18" t="s">
        <v>39</v>
      </c>
      <c r="D15" s="9">
        <f>+(D11+D12)*0.03</f>
        <v>394343.89140271489</v>
      </c>
      <c r="F15" s="63"/>
    </row>
    <row r="16" spans="1:7">
      <c r="C16" s="18" t="s">
        <v>42</v>
      </c>
      <c r="D16" s="9">
        <f>+(D11+D12-224000)*0.02</f>
        <v>258415.92760180996</v>
      </c>
    </row>
    <row r="17" spans="1:7">
      <c r="C17" s="17" t="s">
        <v>40</v>
      </c>
      <c r="D17" s="10">
        <f>+D11+D12+D13+D14+D15-D16</f>
        <v>15185927.963800903</v>
      </c>
    </row>
    <row r="18" spans="1:7">
      <c r="C18" s="19" t="s">
        <v>41</v>
      </c>
      <c r="D18" s="11">
        <f>+D17-14000000</f>
        <v>1185927.9638009034</v>
      </c>
    </row>
    <row r="19" spans="1:7">
      <c r="C19" s="17" t="s">
        <v>34</v>
      </c>
      <c r="D19" s="10">
        <f>+D18*0.006</f>
        <v>7115.5677828054204</v>
      </c>
      <c r="E19" t="s">
        <v>103</v>
      </c>
    </row>
    <row r="20" spans="1:7">
      <c r="C20" s="17" t="s">
        <v>34</v>
      </c>
      <c r="D20" s="10">
        <f>+D16*0.006</f>
        <v>1550.4955656108598</v>
      </c>
      <c r="E20" t="s">
        <v>104</v>
      </c>
    </row>
    <row r="22" spans="1:7">
      <c r="A22" t="s">
        <v>4</v>
      </c>
    </row>
    <row r="24" spans="1:7">
      <c r="C24" s="17" t="s">
        <v>43</v>
      </c>
      <c r="D24" s="9">
        <f>20*170*0.975*3400</f>
        <v>11271000</v>
      </c>
    </row>
    <row r="25" spans="1:7">
      <c r="C25" s="17" t="s">
        <v>44</v>
      </c>
      <c r="D25" s="9">
        <f>+D24*0.105</f>
        <v>1183455</v>
      </c>
    </row>
    <row r="26" spans="1:7">
      <c r="C26" s="17" t="s">
        <v>45</v>
      </c>
      <c r="D26" s="10">
        <f>SUM(D24:D25)</f>
        <v>12454455</v>
      </c>
    </row>
    <row r="27" spans="1:7">
      <c r="D27" s="12"/>
    </row>
    <row r="29" spans="1:7">
      <c r="A29" t="s">
        <v>101</v>
      </c>
    </row>
    <row r="30" spans="1:7">
      <c r="C30" s="5" t="s">
        <v>51</v>
      </c>
      <c r="D30" s="13">
        <v>10000000</v>
      </c>
      <c r="F30" s="5" t="s">
        <v>53</v>
      </c>
      <c r="G30" s="6">
        <f>+(D30-67170)*0.02</f>
        <v>198656.6</v>
      </c>
    </row>
    <row r="31" spans="1:7">
      <c r="C31" s="5" t="s">
        <v>52</v>
      </c>
      <c r="D31" s="13">
        <v>1050000</v>
      </c>
      <c r="F31" s="5" t="s">
        <v>34</v>
      </c>
      <c r="G31" s="6">
        <f>+((D32)*0.006)</f>
        <v>66300</v>
      </c>
    </row>
    <row r="32" spans="1:7">
      <c r="C32" s="5" t="s">
        <v>45</v>
      </c>
      <c r="D32" s="13">
        <v>11050000</v>
      </c>
    </row>
    <row r="34" spans="1:8">
      <c r="A34" t="s">
        <v>5</v>
      </c>
    </row>
    <row r="35" spans="1:8">
      <c r="C35" s="5" t="s">
        <v>46</v>
      </c>
      <c r="D35" s="13">
        <f>+D4*0.4</f>
        <v>9600000</v>
      </c>
      <c r="F35" s="2" t="s">
        <v>53</v>
      </c>
      <c r="G35" s="1">
        <f>+(D24-224000)*0.02</f>
        <v>220940</v>
      </c>
      <c r="H35" t="s">
        <v>100</v>
      </c>
    </row>
    <row r="36" spans="1:8">
      <c r="C36" s="5" t="s">
        <v>48</v>
      </c>
      <c r="D36" s="14">
        <f>+D26-D35-G35</f>
        <v>2633515</v>
      </c>
      <c r="F36" s="2" t="s">
        <v>50</v>
      </c>
      <c r="G36" s="1">
        <f>+(D36)*0.01</f>
        <v>26335.15</v>
      </c>
      <c r="H36" s="63"/>
    </row>
    <row r="37" spans="1:8">
      <c r="F37" s="2" t="s">
        <v>49</v>
      </c>
      <c r="G37" s="1">
        <f>+(D36)*0.006</f>
        <v>15801.09</v>
      </c>
    </row>
    <row r="38" spans="1:8">
      <c r="F38" s="2" t="s">
        <v>34</v>
      </c>
      <c r="G38" s="2">
        <f>+G36*0.006</f>
        <v>158.01090000000002</v>
      </c>
      <c r="H38" t="s">
        <v>105</v>
      </c>
    </row>
    <row r="39" spans="1:8">
      <c r="F39" s="2" t="s">
        <v>34</v>
      </c>
      <c r="G39" s="1">
        <f>+G35*0.006</f>
        <v>1325.64</v>
      </c>
      <c r="H39" t="s">
        <v>106</v>
      </c>
    </row>
    <row r="40" spans="1:8">
      <c r="A40" t="s">
        <v>102</v>
      </c>
    </row>
    <row r="41" spans="1:8">
      <c r="C41" s="17" t="s">
        <v>51</v>
      </c>
      <c r="D41" s="16">
        <f>3000000/1.21</f>
        <v>2479338.8429752067</v>
      </c>
      <c r="F41" s="5" t="s">
        <v>47</v>
      </c>
      <c r="G41" s="6">
        <f>+(D41-67170)*0.0025</f>
        <v>6030.4221074380166</v>
      </c>
    </row>
    <row r="42" spans="1:8">
      <c r="C42" s="17" t="s">
        <v>52</v>
      </c>
      <c r="D42" s="16">
        <f>+D41*0.21</f>
        <v>520661.15702479339</v>
      </c>
      <c r="F42" s="5" t="s">
        <v>49</v>
      </c>
      <c r="G42" s="6">
        <f>+(3000000-G41)*0.006</f>
        <v>17963.817467355373</v>
      </c>
    </row>
    <row r="43" spans="1:8">
      <c r="F43" s="5" t="s">
        <v>50</v>
      </c>
      <c r="G43" s="7">
        <f>+(3000000-G41)*0.01</f>
        <v>29939.695778925619</v>
      </c>
    </row>
    <row r="44" spans="1:8">
      <c r="F44" s="5" t="s">
        <v>107</v>
      </c>
      <c r="G44" s="7">
        <f>+G43*0.006</f>
        <v>179.63817467355372</v>
      </c>
      <c r="H44" t="s">
        <v>106</v>
      </c>
    </row>
    <row r="45" spans="1:8">
      <c r="A45" t="s">
        <v>6</v>
      </c>
    </row>
    <row r="46" spans="1:8">
      <c r="C46" s="17" t="s">
        <v>51</v>
      </c>
      <c r="D46" s="16">
        <v>1000000</v>
      </c>
      <c r="F46" s="2" t="s">
        <v>53</v>
      </c>
      <c r="G46" s="4">
        <f>+(D46-224000)*0.02</f>
        <v>15520</v>
      </c>
    </row>
    <row r="47" spans="1:8">
      <c r="C47" s="17" t="s">
        <v>52</v>
      </c>
      <c r="D47" s="16">
        <f>+D46*0.21</f>
        <v>210000</v>
      </c>
      <c r="F47" s="2" t="s">
        <v>34</v>
      </c>
      <c r="G47" s="4">
        <f>+(D48)*0.006</f>
        <v>7260</v>
      </c>
    </row>
    <row r="48" spans="1:8">
      <c r="C48" s="17" t="s">
        <v>45</v>
      </c>
      <c r="D48" s="16">
        <f>+SUM(D46:D47)</f>
        <v>1210000</v>
      </c>
    </row>
    <row r="50" spans="1:8">
      <c r="A50" t="s">
        <v>7</v>
      </c>
    </row>
    <row r="51" spans="1:8">
      <c r="C51" s="17" t="s">
        <v>51</v>
      </c>
      <c r="D51" s="16">
        <v>1500000</v>
      </c>
      <c r="F51" s="2" t="s">
        <v>54</v>
      </c>
      <c r="G51" s="4">
        <f>+(D51-224000)*0.02</f>
        <v>25520</v>
      </c>
    </row>
    <row r="52" spans="1:8">
      <c r="C52" s="17" t="s">
        <v>52</v>
      </c>
      <c r="D52" s="16">
        <f>+D51*0.21</f>
        <v>315000</v>
      </c>
      <c r="F52" s="2" t="s">
        <v>34</v>
      </c>
      <c r="G52" s="4">
        <f>+D55*0.006</f>
        <v>5291.88</v>
      </c>
      <c r="H52" t="s">
        <v>108</v>
      </c>
    </row>
    <row r="53" spans="1:8">
      <c r="C53" s="17" t="s">
        <v>45</v>
      </c>
      <c r="D53" s="16">
        <f>+D51+D52</f>
        <v>1815000</v>
      </c>
      <c r="F53" s="2" t="s">
        <v>34</v>
      </c>
      <c r="G53" s="2">
        <f>+G51*0.006</f>
        <v>153.12</v>
      </c>
      <c r="H53" t="s">
        <v>109</v>
      </c>
    </row>
    <row r="54" spans="1:8">
      <c r="C54" s="17" t="s">
        <v>46</v>
      </c>
      <c r="D54" s="16">
        <f>+D53/2</f>
        <v>907500</v>
      </c>
    </row>
    <row r="55" spans="1:8">
      <c r="C55" s="17" t="s">
        <v>41</v>
      </c>
      <c r="D55" s="16">
        <f>+D53-D54-G51</f>
        <v>881980</v>
      </c>
    </row>
    <row r="56" spans="1:8">
      <c r="D56" s="15"/>
    </row>
    <row r="57" spans="1:8">
      <c r="A57" t="s">
        <v>8</v>
      </c>
    </row>
    <row r="58" spans="1:8">
      <c r="C58" s="17" t="s">
        <v>51</v>
      </c>
      <c r="D58" s="16">
        <v>1125000</v>
      </c>
      <c r="F58" s="5" t="s">
        <v>47</v>
      </c>
      <c r="G58" s="6">
        <f>+(D58-67170)*0.0025</f>
        <v>2644.5750000000003</v>
      </c>
    </row>
    <row r="59" spans="1:8">
      <c r="C59" s="17" t="s">
        <v>52</v>
      </c>
      <c r="D59" s="16">
        <f>+D58*0.21</f>
        <v>236250</v>
      </c>
      <c r="F59" s="5" t="s">
        <v>49</v>
      </c>
      <c r="G59" s="6">
        <f>+(D58+D59-G58)*0.006</f>
        <v>8151.6325500000003</v>
      </c>
    </row>
    <row r="62" spans="1:8">
      <c r="A62" t="s">
        <v>9</v>
      </c>
    </row>
    <row r="63" spans="1:8">
      <c r="C63" s="17" t="s">
        <v>55</v>
      </c>
      <c r="D63" s="2">
        <v>35</v>
      </c>
    </row>
    <row r="64" spans="1:8">
      <c r="C64" s="17" t="s">
        <v>56</v>
      </c>
      <c r="D64" s="4">
        <f>310000*D63</f>
        <v>10850000</v>
      </c>
    </row>
    <row r="65" spans="1:7">
      <c r="C65" s="17" t="s">
        <v>52</v>
      </c>
      <c r="D65" s="4">
        <f>+D64*0.105</f>
        <v>1139250</v>
      </c>
      <c r="F65" s="17" t="s">
        <v>63</v>
      </c>
      <c r="G65" s="20">
        <f>+D70*0.006</f>
        <v>63824.880000000005</v>
      </c>
    </row>
    <row r="66" spans="1:7">
      <c r="C66" s="17"/>
      <c r="D66" s="4">
        <f>+D64+D65</f>
        <v>11989250</v>
      </c>
      <c r="F66" s="17" t="s">
        <v>64</v>
      </c>
      <c r="G66" s="20">
        <f>+(D71+D69)*0.006</f>
        <v>6184.5</v>
      </c>
    </row>
    <row r="67" spans="1:7">
      <c r="C67" s="17" t="s">
        <v>57</v>
      </c>
      <c r="D67" s="4">
        <f>+D64*0.07</f>
        <v>759500.00000000012</v>
      </c>
      <c r="F67" s="17" t="s">
        <v>65</v>
      </c>
      <c r="G67" s="21">
        <f>+SUM(G65:G66)</f>
        <v>70009.38</v>
      </c>
    </row>
    <row r="68" spans="1:7">
      <c r="C68" s="17" t="s">
        <v>58</v>
      </c>
      <c r="D68" s="4">
        <f>+(D64-224000)*0.02</f>
        <v>212520</v>
      </c>
      <c r="F68" s="17" t="s">
        <v>50</v>
      </c>
      <c r="G68" s="1">
        <f>+D70*0.01</f>
        <v>106374.8</v>
      </c>
    </row>
    <row r="69" spans="1:7">
      <c r="C69" s="17" t="s">
        <v>59</v>
      </c>
      <c r="D69" s="4">
        <f>+D64*0.035</f>
        <v>379750.00000000006</v>
      </c>
      <c r="F69" s="17" t="s">
        <v>34</v>
      </c>
      <c r="G69" s="1">
        <f>+G68*0.006</f>
        <v>638.24880000000007</v>
      </c>
    </row>
    <row r="70" spans="1:7">
      <c r="C70" s="17" t="s">
        <v>60</v>
      </c>
      <c r="D70" s="4">
        <f>+D66-D67-D68-D69</f>
        <v>10637480</v>
      </c>
    </row>
    <row r="71" spans="1:7">
      <c r="C71" s="17" t="s">
        <v>61</v>
      </c>
      <c r="D71" s="4">
        <f>+D64*0.06</f>
        <v>651000</v>
      </c>
    </row>
    <row r="73" spans="1:7">
      <c r="A73" t="s">
        <v>10</v>
      </c>
    </row>
    <row r="75" spans="1:7">
      <c r="C75" s="17" t="s">
        <v>55</v>
      </c>
      <c r="D75" s="22">
        <v>150</v>
      </c>
    </row>
    <row r="76" spans="1:7">
      <c r="C76" s="17" t="s">
        <v>56</v>
      </c>
      <c r="D76" s="16">
        <f>+D75*240000</f>
        <v>36000000</v>
      </c>
      <c r="F76" s="5" t="s">
        <v>69</v>
      </c>
      <c r="G76" s="1">
        <f>+D82*0.006</f>
        <v>211706.88</v>
      </c>
    </row>
    <row r="77" spans="1:7">
      <c r="C77" s="17" t="s">
        <v>52</v>
      </c>
      <c r="D77" s="16">
        <f>+D76*0.105</f>
        <v>3780000</v>
      </c>
      <c r="F77" s="5" t="s">
        <v>67</v>
      </c>
      <c r="G77" s="23">
        <f>+D81*0.006</f>
        <v>7560.0000000000018</v>
      </c>
    </row>
    <row r="78" spans="1:7">
      <c r="C78" s="17"/>
      <c r="D78" s="16">
        <v>39780000</v>
      </c>
      <c r="F78" s="5" t="s">
        <v>68</v>
      </c>
      <c r="G78" s="23">
        <f>+D83*0.006</f>
        <v>12960</v>
      </c>
    </row>
    <row r="79" spans="1:7">
      <c r="C79" s="17" t="s">
        <v>57</v>
      </c>
      <c r="D79" s="16">
        <f>+D76*0.07</f>
        <v>2520000.0000000005</v>
      </c>
      <c r="F79" s="5" t="s">
        <v>70</v>
      </c>
      <c r="G79" s="24">
        <f>+SUM(G76:G78)</f>
        <v>232226.88</v>
      </c>
    </row>
    <row r="80" spans="1:7">
      <c r="C80" s="17" t="s">
        <v>58</v>
      </c>
      <c r="D80" s="16">
        <f>+(D76-224000)*0.02</f>
        <v>715520</v>
      </c>
    </row>
    <row r="81" spans="1:4">
      <c r="C81" s="17" t="s">
        <v>59</v>
      </c>
      <c r="D81" s="16">
        <f>+D76*0.035</f>
        <v>1260000.0000000002</v>
      </c>
    </row>
    <row r="82" spans="1:4">
      <c r="C82" s="17" t="s">
        <v>66</v>
      </c>
      <c r="D82" s="16">
        <f>+D78-D79-D80-D81</f>
        <v>35284480</v>
      </c>
    </row>
    <row r="83" spans="1:4">
      <c r="C83" s="17" t="s">
        <v>61</v>
      </c>
      <c r="D83" s="16">
        <f>+D76*0.06</f>
        <v>2160000</v>
      </c>
    </row>
    <row r="87" spans="1:4">
      <c r="A87" t="s">
        <v>11</v>
      </c>
    </row>
    <row r="88" spans="1:4">
      <c r="A88" t="s">
        <v>12</v>
      </c>
    </row>
    <row r="89" spans="1:4">
      <c r="A89" t="s">
        <v>13</v>
      </c>
    </row>
    <row r="90" spans="1:4">
      <c r="A90" t="s">
        <v>14</v>
      </c>
    </row>
    <row r="91" spans="1:4">
      <c r="A91" t="s">
        <v>15</v>
      </c>
    </row>
    <row r="92" spans="1:4">
      <c r="A92" t="s">
        <v>16</v>
      </c>
    </row>
    <row r="93" spans="1:4">
      <c r="A93" t="s">
        <v>17</v>
      </c>
    </row>
    <row r="94" spans="1:4">
      <c r="A94" t="s">
        <v>18</v>
      </c>
    </row>
    <row r="95" spans="1:4">
      <c r="A95" t="s">
        <v>19</v>
      </c>
    </row>
    <row r="96" spans="1:4">
      <c r="A96" t="s">
        <v>20</v>
      </c>
    </row>
    <row r="97" spans="1:19">
      <c r="A97" t="s">
        <v>21</v>
      </c>
    </row>
    <row r="98" spans="1:19">
      <c r="A98" t="s">
        <v>22</v>
      </c>
    </row>
    <row r="99" spans="1:19" ht="15" thickBot="1"/>
    <row r="100" spans="1:19">
      <c r="A100" s="48" t="s">
        <v>23</v>
      </c>
      <c r="B100" s="49"/>
      <c r="C100" s="50"/>
      <c r="D100" s="51"/>
      <c r="E100" s="49"/>
      <c r="F100" s="52"/>
    </row>
    <row r="101" spans="1:19">
      <c r="A101" s="53" t="s">
        <v>24</v>
      </c>
      <c r="B101" s="54"/>
      <c r="C101" s="55"/>
      <c r="D101" s="56"/>
      <c r="E101" s="54"/>
      <c r="F101" s="57"/>
    </row>
    <row r="102" spans="1:19">
      <c r="A102" s="53" t="s">
        <v>25</v>
      </c>
      <c r="B102" s="54"/>
      <c r="C102" s="55"/>
      <c r="D102" s="56"/>
      <c r="E102" s="54"/>
      <c r="F102" s="57"/>
    </row>
    <row r="103" spans="1:19">
      <c r="A103" s="53" t="s">
        <v>26</v>
      </c>
      <c r="B103" s="54"/>
      <c r="C103" s="55"/>
      <c r="D103" s="56"/>
      <c r="E103" s="54"/>
      <c r="F103" s="57"/>
    </row>
    <row r="104" spans="1:19">
      <c r="A104" s="53" t="s">
        <v>27</v>
      </c>
      <c r="B104" s="54"/>
      <c r="C104" s="55"/>
      <c r="D104" s="56"/>
      <c r="E104" s="54"/>
      <c r="F104" s="57"/>
    </row>
    <row r="105" spans="1:19">
      <c r="A105" s="53" t="s">
        <v>28</v>
      </c>
      <c r="B105" s="54"/>
      <c r="C105" s="55"/>
      <c r="D105" s="56"/>
      <c r="E105" s="54"/>
      <c r="F105" s="57"/>
    </row>
    <row r="106" spans="1:19">
      <c r="A106" s="53" t="s">
        <v>29</v>
      </c>
      <c r="B106" s="54"/>
      <c r="C106" s="55"/>
      <c r="D106" s="56"/>
      <c r="E106" s="54"/>
      <c r="F106" s="57"/>
    </row>
    <row r="107" spans="1:19">
      <c r="A107" s="53" t="s">
        <v>30</v>
      </c>
      <c r="B107" s="54"/>
      <c r="C107" s="55"/>
      <c r="D107" s="56"/>
      <c r="E107" s="54"/>
      <c r="F107" s="57"/>
    </row>
    <row r="108" spans="1:19" ht="15" thickBot="1">
      <c r="A108" s="58" t="s">
        <v>31</v>
      </c>
      <c r="B108" s="59"/>
      <c r="C108" s="60"/>
      <c r="D108" s="61"/>
      <c r="E108" s="59"/>
      <c r="F108" s="62"/>
    </row>
    <row r="110" spans="1:19" ht="15" thickBot="1">
      <c r="F110" s="25"/>
    </row>
    <row r="111" spans="1:19" ht="15" thickBot="1">
      <c r="A111" s="2" t="s">
        <v>98</v>
      </c>
      <c r="B111" s="2"/>
      <c r="C111" s="17"/>
      <c r="F111" s="26"/>
      <c r="G111" s="27" t="s">
        <v>71</v>
      </c>
      <c r="H111" s="28" t="s">
        <v>72</v>
      </c>
      <c r="I111" s="28" t="s">
        <v>73</v>
      </c>
      <c r="J111" s="28" t="s">
        <v>74</v>
      </c>
      <c r="K111" s="28" t="s">
        <v>75</v>
      </c>
      <c r="L111" s="28" t="s">
        <v>76</v>
      </c>
      <c r="M111" s="28" t="s">
        <v>77</v>
      </c>
      <c r="N111" s="28" t="s">
        <v>78</v>
      </c>
      <c r="O111" s="28" t="s">
        <v>79</v>
      </c>
      <c r="P111" s="28" t="s">
        <v>80</v>
      </c>
      <c r="Q111" s="28" t="s">
        <v>81</v>
      </c>
      <c r="R111" s="75" t="s">
        <v>82</v>
      </c>
      <c r="S111" s="89" t="s">
        <v>114</v>
      </c>
    </row>
    <row r="112" spans="1:19">
      <c r="A112" s="99" t="s">
        <v>112</v>
      </c>
      <c r="B112" s="95" t="s">
        <v>110</v>
      </c>
      <c r="C112" s="96"/>
      <c r="F112" s="29" t="s">
        <v>83</v>
      </c>
      <c r="G112" s="30"/>
      <c r="H112" s="31">
        <f>+D25</f>
        <v>1183455</v>
      </c>
      <c r="I112" s="43">
        <f>+D42</f>
        <v>520661.15702479339</v>
      </c>
      <c r="J112" s="32"/>
      <c r="K112" s="32"/>
      <c r="L112" s="43">
        <f>+D59</f>
        <v>236250</v>
      </c>
      <c r="M112" s="43">
        <f>+D65</f>
        <v>1139250</v>
      </c>
      <c r="N112" s="43">
        <f>+D77</f>
        <v>3780000</v>
      </c>
      <c r="O112" s="32"/>
      <c r="P112" s="32"/>
      <c r="Q112" s="32"/>
      <c r="R112" s="76"/>
      <c r="S112" s="80">
        <f>+SUM(G112:R112)</f>
        <v>6859616.1570247933</v>
      </c>
    </row>
    <row r="113" spans="1:20">
      <c r="A113" s="100"/>
      <c r="B113" s="97"/>
      <c r="C113" s="98"/>
      <c r="F113" s="33" t="s">
        <v>84</v>
      </c>
      <c r="G113" s="34">
        <f>+D13+D14</f>
        <v>1905203.6199095026</v>
      </c>
      <c r="H113" s="24">
        <f>+D31</f>
        <v>1050000</v>
      </c>
      <c r="I113" s="2"/>
      <c r="J113" s="4">
        <f>+D47</f>
        <v>210000</v>
      </c>
      <c r="K113" s="4">
        <f>+D52</f>
        <v>315000</v>
      </c>
      <c r="L113" s="2"/>
      <c r="M113" s="2"/>
      <c r="N113" s="2"/>
      <c r="O113" s="2"/>
      <c r="P113" s="2"/>
      <c r="Q113" s="2"/>
      <c r="R113" s="77"/>
      <c r="S113" s="80">
        <f t="shared" ref="S113:S118" si="0">+SUM(G113:R113)</f>
        <v>3480203.6199095026</v>
      </c>
    </row>
    <row r="114" spans="1:20">
      <c r="A114" s="105" t="s">
        <v>99</v>
      </c>
      <c r="B114" s="101" t="s">
        <v>111</v>
      </c>
      <c r="C114" s="102"/>
      <c r="F114" s="33" t="s">
        <v>85</v>
      </c>
      <c r="G114" s="34">
        <f>+G112-G113</f>
        <v>-1905203.6199095026</v>
      </c>
      <c r="H114" s="34">
        <f>+H112-H113</f>
        <v>133455</v>
      </c>
      <c r="I114" s="34">
        <f t="shared" ref="I114:R114" si="1">+I112-I113</f>
        <v>520661.15702479339</v>
      </c>
      <c r="J114" s="34">
        <f t="shared" si="1"/>
        <v>-210000</v>
      </c>
      <c r="K114" s="34">
        <f t="shared" si="1"/>
        <v>-315000</v>
      </c>
      <c r="L114" s="34">
        <f t="shared" si="1"/>
        <v>236250</v>
      </c>
      <c r="M114" s="34">
        <f t="shared" si="1"/>
        <v>1139250</v>
      </c>
      <c r="N114" s="64">
        <f>+N112-N113</f>
        <v>3780000</v>
      </c>
      <c r="O114" s="34">
        <f t="shared" si="1"/>
        <v>0</v>
      </c>
      <c r="P114" s="34">
        <f t="shared" si="1"/>
        <v>0</v>
      </c>
      <c r="Q114" s="34">
        <f t="shared" si="1"/>
        <v>0</v>
      </c>
      <c r="R114" s="78">
        <f t="shared" si="1"/>
        <v>0</v>
      </c>
      <c r="S114" s="80"/>
      <c r="T114" s="63"/>
    </row>
    <row r="115" spans="1:20">
      <c r="A115" s="106"/>
      <c r="B115" s="103"/>
      <c r="C115" s="104"/>
      <c r="F115" s="33" t="s">
        <v>86</v>
      </c>
      <c r="G115" s="34">
        <f>+G114</f>
        <v>-1905203.6199095026</v>
      </c>
      <c r="H115" s="24">
        <f>+G115+H114</f>
        <v>-1771748.6199095026</v>
      </c>
      <c r="I115" s="24">
        <f t="shared" ref="I115:K115" si="2">+H115+I114</f>
        <v>-1251087.4628847092</v>
      </c>
      <c r="J115" s="24">
        <f t="shared" si="2"/>
        <v>-1461087.4628847092</v>
      </c>
      <c r="K115" s="24">
        <f t="shared" si="2"/>
        <v>-1776087.4628847092</v>
      </c>
      <c r="L115" s="24">
        <f>+K115+L114</f>
        <v>-1539837.4628847092</v>
      </c>
      <c r="M115" s="24">
        <f>+L115+M114</f>
        <v>-400587.46288470924</v>
      </c>
      <c r="N115" s="24">
        <f>+M115+N114</f>
        <v>3379412.5371152908</v>
      </c>
      <c r="O115" s="24"/>
      <c r="P115" s="24"/>
      <c r="Q115" s="2"/>
      <c r="R115" s="77"/>
      <c r="S115" s="80"/>
    </row>
    <row r="116" spans="1:20">
      <c r="F116" s="33" t="s">
        <v>87</v>
      </c>
      <c r="G116" s="34">
        <f>-D15</f>
        <v>-394343.89140271489</v>
      </c>
      <c r="H116" s="2"/>
      <c r="I116" s="2"/>
      <c r="J116" s="2"/>
      <c r="K116" s="2"/>
      <c r="L116" s="24"/>
      <c r="M116" s="24">
        <f>-D67</f>
        <v>-759500.00000000012</v>
      </c>
      <c r="N116" s="24">
        <f>D71-D79</f>
        <v>-1869000.0000000005</v>
      </c>
      <c r="P116" s="4">
        <f>+D83</f>
        <v>2160000</v>
      </c>
      <c r="Q116" s="2"/>
      <c r="R116" s="77"/>
      <c r="S116" s="80">
        <f t="shared" si="0"/>
        <v>-862843.89140271535</v>
      </c>
    </row>
    <row r="117" spans="1:20">
      <c r="F117" s="33" t="s">
        <v>88</v>
      </c>
      <c r="G117" s="34">
        <f>+G116</f>
        <v>-394343.89140271489</v>
      </c>
      <c r="H117" s="24">
        <f>+G117+H116</f>
        <v>-394343.89140271489</v>
      </c>
      <c r="I117" s="24">
        <f t="shared" ref="I117:L117" si="3">+H117+I116</f>
        <v>-394343.89140271489</v>
      </c>
      <c r="J117" s="24">
        <f t="shared" si="3"/>
        <v>-394343.89140271489</v>
      </c>
      <c r="K117" s="24">
        <f t="shared" si="3"/>
        <v>-394343.89140271489</v>
      </c>
      <c r="L117" s="24">
        <f t="shared" si="3"/>
        <v>-394343.89140271489</v>
      </c>
      <c r="M117" s="24">
        <f>+L117+M116</f>
        <v>-1153843.8914027149</v>
      </c>
      <c r="N117" s="24">
        <f>+M117+N116</f>
        <v>-3022843.8914027154</v>
      </c>
      <c r="O117" s="24"/>
      <c r="P117" s="24"/>
      <c r="Q117" s="2"/>
      <c r="R117" s="77"/>
      <c r="S117" s="80"/>
    </row>
    <row r="118" spans="1:20" ht="15" thickBot="1">
      <c r="F118" s="35" t="s">
        <v>89</v>
      </c>
      <c r="G118" s="36"/>
      <c r="H118" s="37"/>
      <c r="I118" s="37"/>
      <c r="J118" s="37"/>
      <c r="K118" s="37"/>
      <c r="L118" s="37"/>
      <c r="M118" s="37"/>
      <c r="N118" s="38">
        <f>+N115+N117</f>
        <v>356568.64571257541</v>
      </c>
      <c r="O118" s="38"/>
      <c r="P118" s="44">
        <f>+P116</f>
        <v>2160000</v>
      </c>
      <c r="Q118" s="37"/>
      <c r="R118" s="79"/>
      <c r="S118" s="81">
        <f t="shared" si="0"/>
        <v>2516568.6457125754</v>
      </c>
    </row>
    <row r="119" spans="1:20" ht="15" thickBot="1">
      <c r="F119" s="25"/>
      <c r="S119" s="90"/>
    </row>
    <row r="120" spans="1:20" ht="15" thickBot="1">
      <c r="D120" s="94" t="s">
        <v>113</v>
      </c>
      <c r="E120" s="94"/>
      <c r="F120" s="67"/>
      <c r="G120" s="39" t="s">
        <v>71</v>
      </c>
      <c r="H120" s="40" t="s">
        <v>72</v>
      </c>
      <c r="I120" s="40" t="s">
        <v>73</v>
      </c>
      <c r="J120" s="40" t="s">
        <v>74</v>
      </c>
      <c r="K120" s="40" t="s">
        <v>75</v>
      </c>
      <c r="L120" s="40" t="s">
        <v>76</v>
      </c>
      <c r="M120" s="40" t="s">
        <v>77</v>
      </c>
      <c r="N120" s="40" t="s">
        <v>78</v>
      </c>
      <c r="O120" s="40" t="s">
        <v>79</v>
      </c>
      <c r="P120" s="40" t="s">
        <v>80</v>
      </c>
      <c r="Q120" s="40" t="s">
        <v>81</v>
      </c>
      <c r="R120" s="85" t="s">
        <v>82</v>
      </c>
      <c r="S120" s="89" t="s">
        <v>114</v>
      </c>
    </row>
    <row r="121" spans="1:20">
      <c r="D121" s="94"/>
      <c r="E121" s="94"/>
      <c r="F121" s="68" t="s">
        <v>90</v>
      </c>
      <c r="G121" s="45">
        <v>0</v>
      </c>
      <c r="H121" s="46">
        <v>0</v>
      </c>
      <c r="I121" s="46">
        <f>+G36+G43</f>
        <v>56274.845778925621</v>
      </c>
      <c r="J121" s="46"/>
      <c r="K121" s="46"/>
      <c r="L121" s="46"/>
      <c r="M121" s="46">
        <f>+G68</f>
        <v>106374.8</v>
      </c>
      <c r="N121" s="46"/>
      <c r="O121" s="46"/>
      <c r="P121" s="46"/>
      <c r="Q121" s="46"/>
      <c r="R121" s="82"/>
      <c r="S121" s="91">
        <f>+SUM(G121:R121)</f>
        <v>162649.64577892562</v>
      </c>
    </row>
    <row r="122" spans="1:20">
      <c r="D122" s="94"/>
      <c r="E122" s="94"/>
      <c r="F122" s="69" t="s">
        <v>91</v>
      </c>
      <c r="G122" s="47">
        <v>0</v>
      </c>
      <c r="H122" s="1">
        <v>0</v>
      </c>
      <c r="I122" s="1">
        <f>+D41*0.015</f>
        <v>37190.082644628099</v>
      </c>
      <c r="J122" s="1"/>
      <c r="K122" s="1"/>
      <c r="L122" s="1">
        <f>+D58*0.015</f>
        <v>16875</v>
      </c>
      <c r="M122" s="1"/>
      <c r="N122" s="1"/>
      <c r="O122" s="1"/>
      <c r="P122" s="1"/>
      <c r="Q122" s="1"/>
      <c r="R122" s="83"/>
      <c r="S122" s="91">
        <f t="shared" ref="S122:S125" si="4">+SUM(G122:R122)</f>
        <v>54065.082644628099</v>
      </c>
    </row>
    <row r="123" spans="1:20">
      <c r="D123" s="94"/>
      <c r="E123" s="94"/>
      <c r="F123" s="69" t="s">
        <v>92</v>
      </c>
      <c r="G123" s="47"/>
      <c r="H123" s="1"/>
      <c r="I123" s="1">
        <f>+I121-I122</f>
        <v>19084.763134297522</v>
      </c>
      <c r="J123" s="1">
        <f t="shared" ref="J123:K123" si="5">+J121-J122</f>
        <v>0</v>
      </c>
      <c r="K123" s="1">
        <f t="shared" si="5"/>
        <v>0</v>
      </c>
      <c r="L123" s="1">
        <f>+L121-L122</f>
        <v>-16875</v>
      </c>
      <c r="M123" s="1">
        <f>+M121-M122</f>
        <v>106374.8</v>
      </c>
      <c r="N123" s="1"/>
      <c r="O123" s="1"/>
      <c r="P123" s="1"/>
      <c r="Q123" s="1"/>
      <c r="R123" s="83"/>
      <c r="S123" s="91"/>
    </row>
    <row r="124" spans="1:20">
      <c r="D124" s="94"/>
      <c r="E124" s="94"/>
      <c r="F124" s="69" t="s">
        <v>93</v>
      </c>
      <c r="G124" s="47">
        <f>+G123</f>
        <v>0</v>
      </c>
      <c r="H124" s="1">
        <f>+G124+H123</f>
        <v>0</v>
      </c>
      <c r="I124" s="1">
        <f>+H124+I123</f>
        <v>19084.763134297522</v>
      </c>
      <c r="J124" s="1">
        <f>+I124+J123-7020</f>
        <v>12064.763134297522</v>
      </c>
      <c r="K124" s="1">
        <f>+J124+K123-7020</f>
        <v>5044.7631342975219</v>
      </c>
      <c r="L124" s="1">
        <f>+K124+L123</f>
        <v>-11830.236865702478</v>
      </c>
      <c r="M124" s="1">
        <f>+M123</f>
        <v>106374.8</v>
      </c>
      <c r="N124" s="1">
        <f>+M124</f>
        <v>106374.8</v>
      </c>
      <c r="O124" s="1">
        <f>+N124</f>
        <v>106374.8</v>
      </c>
      <c r="P124" s="1">
        <f>+O124</f>
        <v>106374.8</v>
      </c>
      <c r="Q124" s="1"/>
      <c r="R124" s="83"/>
      <c r="S124" s="91"/>
    </row>
    <row r="125" spans="1:20" ht="15" thickBot="1">
      <c r="D125" s="94"/>
      <c r="E125" s="94"/>
      <c r="F125" s="70" t="s">
        <v>94</v>
      </c>
      <c r="G125" s="71">
        <v>7020</v>
      </c>
      <c r="H125" s="71">
        <v>7020</v>
      </c>
      <c r="I125" s="72"/>
      <c r="J125" s="72"/>
      <c r="K125" s="72"/>
      <c r="L125" s="72">
        <v>11830.24</v>
      </c>
      <c r="M125" s="72"/>
      <c r="N125" s="72"/>
      <c r="O125" s="72"/>
      <c r="P125" s="72"/>
      <c r="Q125" s="72"/>
      <c r="R125" s="84"/>
      <c r="S125" s="92">
        <f t="shared" si="4"/>
        <v>25870.239999999998</v>
      </c>
    </row>
    <row r="126" spans="1:20" ht="15" thickBot="1">
      <c r="F126" s="25"/>
      <c r="G126" s="27" t="s">
        <v>71</v>
      </c>
      <c r="H126" s="28" t="s">
        <v>72</v>
      </c>
      <c r="I126" s="28" t="s">
        <v>73</v>
      </c>
      <c r="J126" s="28" t="s">
        <v>74</v>
      </c>
      <c r="K126" s="28" t="s">
        <v>75</v>
      </c>
      <c r="L126" s="28" t="s">
        <v>76</v>
      </c>
      <c r="M126" s="28" t="s">
        <v>77</v>
      </c>
      <c r="N126" s="28" t="s">
        <v>78</v>
      </c>
      <c r="O126" s="28" t="s">
        <v>79</v>
      </c>
      <c r="P126" s="28" t="s">
        <v>80</v>
      </c>
      <c r="Q126" s="28" t="s">
        <v>81</v>
      </c>
      <c r="R126" s="75" t="s">
        <v>82</v>
      </c>
      <c r="S126" s="89" t="s">
        <v>114</v>
      </c>
    </row>
    <row r="127" spans="1:20">
      <c r="F127" s="29" t="s">
        <v>95</v>
      </c>
      <c r="G127" s="73">
        <f>+D16</f>
        <v>258415.92760180996</v>
      </c>
      <c r="H127" s="73">
        <f>+G30</f>
        <v>198656.6</v>
      </c>
      <c r="I127" s="73"/>
      <c r="J127" s="74">
        <f>+G46</f>
        <v>15520</v>
      </c>
      <c r="K127" s="74">
        <f>+G51</f>
        <v>25520</v>
      </c>
      <c r="L127" s="73"/>
      <c r="M127" s="73"/>
      <c r="N127" s="73"/>
      <c r="O127" s="73"/>
      <c r="P127" s="73"/>
      <c r="Q127" s="73"/>
      <c r="R127" s="86"/>
      <c r="S127" s="91">
        <f>+SUM(G127:R127)</f>
        <v>498112.52760180994</v>
      </c>
    </row>
    <row r="128" spans="1:20">
      <c r="F128" s="33" t="s">
        <v>96</v>
      </c>
      <c r="G128" s="41"/>
      <c r="H128" s="41"/>
      <c r="I128" s="41">
        <f>+G35+G41</f>
        <v>226970.422107438</v>
      </c>
      <c r="J128" s="41"/>
      <c r="K128" s="41"/>
      <c r="L128" s="41">
        <f>+G58</f>
        <v>2644.5750000000003</v>
      </c>
      <c r="M128" s="66">
        <f>+D68</f>
        <v>212520</v>
      </c>
      <c r="N128" s="66">
        <f>+D80</f>
        <v>715520</v>
      </c>
      <c r="O128" s="41"/>
      <c r="P128" s="41"/>
      <c r="Q128" s="41"/>
      <c r="R128" s="87"/>
      <c r="S128" s="91">
        <f t="shared" ref="S128:S130" si="6">+SUM(G128:R128)</f>
        <v>1157654.997107438</v>
      </c>
    </row>
    <row r="129" spans="6:19">
      <c r="F129" s="33" t="s">
        <v>62</v>
      </c>
      <c r="G129" s="41"/>
      <c r="H129" s="41"/>
      <c r="I129" s="41">
        <f>+G42+G37</f>
        <v>33764.90746735537</v>
      </c>
      <c r="J129" s="41"/>
      <c r="K129" s="41"/>
      <c r="L129" s="41">
        <f>+G59</f>
        <v>8151.6325500000003</v>
      </c>
      <c r="M129" s="41">
        <f>+G65</f>
        <v>63824.880000000005</v>
      </c>
      <c r="N129" s="41">
        <f>+G66+G76</f>
        <v>217891.38</v>
      </c>
      <c r="O129" s="41">
        <f>+G77</f>
        <v>7560.0000000000018</v>
      </c>
      <c r="P129" s="41">
        <f>+G78</f>
        <v>12960</v>
      </c>
      <c r="Q129" s="41"/>
      <c r="R129" s="87"/>
      <c r="S129" s="91">
        <f t="shared" si="6"/>
        <v>344152.80001735536</v>
      </c>
    </row>
    <row r="130" spans="6:19" ht="15" thickBot="1">
      <c r="F130" s="35" t="s">
        <v>97</v>
      </c>
      <c r="G130" s="42">
        <f>+D19+G7</f>
        <v>93515.567782805418</v>
      </c>
      <c r="H130" s="42">
        <f>+G31+D20</f>
        <v>67850.495565610865</v>
      </c>
      <c r="I130" s="42">
        <f>+I121*0.006+G38</f>
        <v>495.65997467355373</v>
      </c>
      <c r="J130" s="65">
        <f>+G47+G44+G39</f>
        <v>8765.2781746735527</v>
      </c>
      <c r="K130" s="65">
        <f>+G52</f>
        <v>5291.88</v>
      </c>
      <c r="L130" s="42">
        <f>+G53</f>
        <v>153.12</v>
      </c>
      <c r="M130" s="42">
        <f>+G69</f>
        <v>638.24880000000007</v>
      </c>
      <c r="N130" s="42"/>
      <c r="O130" s="42"/>
      <c r="P130" s="42"/>
      <c r="Q130" s="42"/>
      <c r="R130" s="88"/>
      <c r="S130" s="93">
        <f t="shared" si="6"/>
        <v>176710.25029776341</v>
      </c>
    </row>
    <row r="131" spans="6:19">
      <c r="F131" s="25"/>
    </row>
  </sheetData>
  <mergeCells count="5">
    <mergeCell ref="D120:E125"/>
    <mergeCell ref="B112:C113"/>
    <mergeCell ref="A112:A113"/>
    <mergeCell ref="B114:C115"/>
    <mergeCell ref="A114:A115"/>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gino fabbro</dc:creator>
  <cp:lastModifiedBy>gino fabbro</cp:lastModifiedBy>
  <dcterms:created xsi:type="dcterms:W3CDTF">2025-04-24T21:10:47Z</dcterms:created>
  <dcterms:modified xsi:type="dcterms:W3CDTF">2025-05-12T23:02:10Z</dcterms:modified>
</cp:coreProperties>
</file>