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7980" windowHeight="5520" tabRatio="744" firstSheet="6" activeTab="6"/>
  </bookViews>
  <sheets>
    <sheet name="calculo uta" sheetId="1" r:id="rId1"/>
    <sheet name="resumen" sheetId="2" r:id="rId2"/>
    <sheet name="eq. uta" sheetId="3" r:id="rId3"/>
    <sheet name="costo uso maq." sheetId="4" r:id="rId4"/>
    <sheet name="coef.uso maq." sheetId="5" r:id="rId5"/>
    <sheet name="costos comparados" sheetId="6" r:id="rId6"/>
    <sheet name="margen bruto" sheetId="7" r:id="rId7"/>
    <sheet name="Hoja1" sheetId="8" r:id="rId8"/>
    <sheet name="MARG. BRUTO DE CULTIVOS" sheetId="9" r:id="rId9"/>
    <sheet name="MARG. BRUTO DE CULTIVOS (2)" sheetId="10" r:id="rId10"/>
    <sheet name="CRIA" sheetId="11" r:id="rId11"/>
    <sheet name="INVERNADA" sheetId="12" r:id="rId12"/>
    <sheet name="NACIMIENTOS" sheetId="13" r:id="rId13"/>
    <sheet name="DESPACHOS" sheetId="14" r:id="rId14"/>
    <sheet name="VENTAS" sheetId="15" r:id="rId15"/>
    <sheet name="CONTROL DE EXISTENCIAS" sheetId="16" r:id="rId16"/>
    <sheet name="TACTO" sheetId="17" r:id="rId17"/>
    <sheet name="OPCIONES" sheetId="18" r:id="rId18"/>
    <sheet name="IVA EJEMPLO" sheetId="19" r:id="rId19"/>
    <sheet name="IVA COMP." sheetId="20" r:id="rId20"/>
    <sheet name="EJ. IVA" sheetId="21" r:id="rId21"/>
    <sheet name="IVA SALDOS" sheetId="22" r:id="rId22"/>
    <sheet name="GCIAS" sheetId="23" r:id="rId23"/>
    <sheet name="SUELDOS" sheetId="24" r:id="rId24"/>
    <sheet name="ASIGN. FLIARES" sheetId="25" r:id="rId25"/>
    <sheet name="CALCULO DE TIEMPO" sheetId="26" r:id="rId26"/>
    <sheet name="CARGA Y COSECHA" sheetId="27" r:id="rId27"/>
    <sheet name="T.M.S.M" sheetId="28" r:id="rId28"/>
    <sheet name="EST.COM.S." sheetId="29" r:id="rId29"/>
    <sheet name="T.M.S.S." sheetId="30" r:id="rId30"/>
    <sheet name="T.M.S.S.G." sheetId="31" r:id="rId31"/>
    <sheet name="Hoja2" sheetId="32" r:id="rId32"/>
    <sheet name="T.M.S.T." sheetId="33" r:id="rId33"/>
    <sheet name="T.M.S.G." sheetId="34" r:id="rId34"/>
  </sheets>
  <externalReferences>
    <externalReference r:id="rId37"/>
    <externalReference r:id="rId38"/>
    <externalReference r:id="rId39"/>
    <externalReference r:id="rId40"/>
    <externalReference r:id="rId41"/>
  </externalReferences>
  <definedNames>
    <definedName name="equi">'eq. uta'!$A$1:$C$34</definedName>
    <definedName name="lista">'[4]EQ. UTA'!$A$9:$C$56</definedName>
    <definedName name="listo">'[1]EQ. UTA'!$A$9:$C$56</definedName>
    <definedName name="TABLAG">'T.M.S.G.'!$A$1:$H$39</definedName>
    <definedName name="TABLAM">'T.M.S.M'!$A$2:$H$32</definedName>
    <definedName name="TABLAS">'T.M.S.S.'!$A$1:$H$34</definedName>
    <definedName name="TABLASG">'T.M.S.S.G.'!$A$1:$H$29</definedName>
    <definedName name="TABLAT">'T.M.S.T.'!$A$1:$H$33</definedName>
    <definedName name="tablita">'T.M.S.S.'!$A$39:$B$160</definedName>
  </definedNames>
  <calcPr fullCalcOnLoad="1"/>
</workbook>
</file>

<file path=xl/comments27.xml><?xml version="1.0" encoding="utf-8"?>
<comments xmlns="http://schemas.openxmlformats.org/spreadsheetml/2006/main">
  <authors>
    <author>User</author>
  </authors>
  <commentList>
    <comment ref="N6" authorId="0">
      <text>
        <r>
          <rPr>
            <sz val="8"/>
            <rFont val="Tahoma"/>
            <family val="0"/>
          </rPr>
          <t>Para cada producto existen estándares de comercialización que debemos utilizar para realizar los cálculos, en este caso para ejemplificar utilizaremos los de soja</t>
        </r>
      </text>
    </comment>
    <comment ref="P6" authorId="0">
      <text>
        <r>
          <rPr>
            <sz val="8"/>
            <rFont val="Tahoma"/>
            <family val="0"/>
          </rPr>
          <t xml:space="preserve">Se han volcado aquí los datos obrantes para los estándares de comercialización de soja. Considere además que la fórmula se debe utilizarcuando el porcentaje sea  del 20% o superior.
</t>
        </r>
      </text>
    </comment>
    <comment ref="S6" authorId="0">
      <text>
        <r>
          <rPr>
            <sz val="8"/>
            <rFont val="Tahoma"/>
            <family val="0"/>
          </rPr>
          <t xml:space="preserve">
Se ha utilizado la tabla de merma por secado de soja</t>
        </r>
      </text>
    </comment>
    <comment ref="AC6" authorId="0">
      <text>
        <r>
          <rPr>
            <sz val="8"/>
            <rFont val="Tahoma"/>
            <family val="0"/>
          </rPr>
          <t>Se cobra un valor por tonelada, como se modifica en cada campaña hemos utilizado aquí un valor que sólo sirve para el ejemplo</t>
        </r>
      </text>
    </comment>
  </commentList>
</comments>
</file>

<file path=xl/sharedStrings.xml><?xml version="1.0" encoding="utf-8"?>
<sst xmlns="http://schemas.openxmlformats.org/spreadsheetml/2006/main" count="3720" uniqueCount="1181">
  <si>
    <t>Más de $</t>
  </si>
  <si>
    <t>A $</t>
  </si>
  <si>
    <t>Ganancia (U)</t>
  </si>
  <si>
    <t>Pagan $ (a)</t>
  </si>
  <si>
    <t>Más el % (b)</t>
  </si>
  <si>
    <t>Sobre el exc. De $ ©</t>
  </si>
  <si>
    <t>Impuesto ((a+(b*(U-c)))</t>
  </si>
  <si>
    <t>TASA (1)</t>
  </si>
  <si>
    <t>GANANCIA (2)</t>
  </si>
  <si>
    <t>Menos $ (3)</t>
  </si>
  <si>
    <t>Impuesto (1*2)-3</t>
  </si>
  <si>
    <t>en adelante</t>
  </si>
  <si>
    <t>UTILIDADES DADAS</t>
  </si>
  <si>
    <t>PLANILLA DE LIQUIDACIÓN DE SUELDOS</t>
  </si>
  <si>
    <t>CONTROL DE PAGO DE SEGURO DEL PERSONAL</t>
  </si>
  <si>
    <t>FECHA DE LIQUIDACIÓN</t>
  </si>
  <si>
    <t xml:space="preserve">Nº </t>
  </si>
  <si>
    <t>APELLIDO Y NOMBRE</t>
  </si>
  <si>
    <t>C.U.I.L.</t>
  </si>
  <si>
    <t>F. INGRESO</t>
  </si>
  <si>
    <t>ANTIGÜEDAD</t>
  </si>
  <si>
    <t>S. BASICO</t>
  </si>
  <si>
    <t xml:space="preserve"> ADICIONALES</t>
  </si>
  <si>
    <t>SAC</t>
  </si>
  <si>
    <t>S. BRUTO</t>
  </si>
  <si>
    <t>JUB</t>
  </si>
  <si>
    <t>LEY 19032</t>
  </si>
  <si>
    <t>O.SOC.</t>
  </si>
  <si>
    <t>ANSSAL</t>
  </si>
  <si>
    <t>S. SEP.</t>
  </si>
  <si>
    <t>T. DED.</t>
  </si>
  <si>
    <t>S. NETO</t>
  </si>
  <si>
    <t xml:space="preserve">A. FAM. </t>
  </si>
  <si>
    <t>A COBRAR</t>
  </si>
  <si>
    <t>LIQUIDACION DE SUELDOS PARA ENCARGADO  CON 2 HIJOS Y SIN ANTIGÜEDAD</t>
  </si>
  <si>
    <t>LIQUIDACION DE SUELDOS PARA ENCARGADO DE CAMPO SIN HIJOS Y SIN ANTIGÜEDAD</t>
  </si>
  <si>
    <t>ANT.</t>
  </si>
  <si>
    <t>PRES.</t>
  </si>
  <si>
    <t>CONCEPTOS</t>
  </si>
  <si>
    <t>HABERES</t>
  </si>
  <si>
    <t>Perez, Avelino M.</t>
  </si>
  <si>
    <t>SUELDO BASICO</t>
  </si>
  <si>
    <t>Gomez, Amado S.</t>
  </si>
  <si>
    <t>Ruiz, Marcelino</t>
  </si>
  <si>
    <t>PRESENTISMO</t>
  </si>
  <si>
    <t>Godoy, Rolando</t>
  </si>
  <si>
    <t>ASIGNACIONES FAM.</t>
  </si>
  <si>
    <t>Estrada, Eustaquio</t>
  </si>
  <si>
    <t>JUBILACION</t>
  </si>
  <si>
    <t>Total</t>
  </si>
  <si>
    <t>OBRA SOCIAL</t>
  </si>
  <si>
    <t>PLANILLA DE LIQUIDACION DE CONTRIBUCIONES PATRONALES</t>
  </si>
  <si>
    <t>SEGURO</t>
  </si>
  <si>
    <t>JUB.</t>
  </si>
  <si>
    <t>L. 19032</t>
  </si>
  <si>
    <t>F.A.F.</t>
  </si>
  <si>
    <t>O.S.</t>
  </si>
  <si>
    <t>L. 5110</t>
  </si>
  <si>
    <t>COSTO FIJO</t>
  </si>
  <si>
    <t>ALICUOTA</t>
  </si>
  <si>
    <t xml:space="preserve">TOTAL </t>
  </si>
  <si>
    <t>C. SEPELIO</t>
  </si>
  <si>
    <t>CONT.</t>
  </si>
  <si>
    <t>TOTAL SUJETO A APORTES</t>
  </si>
  <si>
    <t>TOTALES</t>
  </si>
  <si>
    <t>NETO A COBRAR</t>
  </si>
  <si>
    <t>ESCOLARIDAD</t>
  </si>
  <si>
    <t>Resumen Cont. Y Aportes</t>
  </si>
  <si>
    <t>CONTRIBUCIONES PATRONALES CORRESPONDIENTES</t>
  </si>
  <si>
    <t>ASIGNACIONES FAMILIARES</t>
  </si>
  <si>
    <t>CATEGORIA PERSONAL</t>
  </si>
  <si>
    <t>Est.Civ.</t>
  </si>
  <si>
    <t>Hijos</t>
  </si>
  <si>
    <t>F. Num.</t>
  </si>
  <si>
    <t>IMPORTE</t>
  </si>
  <si>
    <t>CONT. AFIP</t>
  </si>
  <si>
    <t>Peón General</t>
  </si>
  <si>
    <t>C</t>
  </si>
  <si>
    <t>APORTES AFIP</t>
  </si>
  <si>
    <t>Ayudante de Especializado</t>
  </si>
  <si>
    <t>S</t>
  </si>
  <si>
    <t>TOTAL AFIP</t>
  </si>
  <si>
    <t>HIJO</t>
  </si>
  <si>
    <t>Mecánico - Tractorista</t>
  </si>
  <si>
    <t>FONDO ASIG. FAM.</t>
  </si>
  <si>
    <t>ASIGN F. COMP</t>
  </si>
  <si>
    <t>Capataz</t>
  </si>
  <si>
    <t>FONDO NAC. EMP.</t>
  </si>
  <si>
    <t>Encargado</t>
  </si>
  <si>
    <t>LEY 5110</t>
  </si>
  <si>
    <t>C. SEP.</t>
  </si>
  <si>
    <t>casado</t>
  </si>
  <si>
    <t>SEGURO DEL TRABAJO</t>
  </si>
  <si>
    <t>soltero</t>
  </si>
  <si>
    <t>SEGURO C. FIJA</t>
  </si>
  <si>
    <t>TOTAL CONT. Y AP. A P.</t>
  </si>
  <si>
    <t>El seguro depende de la compañía que se contrate</t>
  </si>
  <si>
    <t xml:space="preserve">LIQUIDACION DE SUELDOS </t>
  </si>
  <si>
    <t>COSTO TOTAL DEL EMPLEADO</t>
  </si>
  <si>
    <t>EMPRESA: LAR</t>
  </si>
  <si>
    <t>C.U.I.T. 20-16673420-0</t>
  </si>
  <si>
    <t>MES</t>
  </si>
  <si>
    <t>SUELDO B.</t>
  </si>
  <si>
    <t>APORTES PERSONALES</t>
  </si>
  <si>
    <t>TIEMPO DISPONIBLE</t>
  </si>
  <si>
    <t>PERIODO</t>
  </si>
  <si>
    <t>J</t>
  </si>
  <si>
    <t>O</t>
  </si>
  <si>
    <t>N</t>
  </si>
  <si>
    <t>D</t>
  </si>
  <si>
    <t>E</t>
  </si>
  <si>
    <t>F</t>
  </si>
  <si>
    <t>M</t>
  </si>
  <si>
    <t>Días Totales</t>
  </si>
  <si>
    <r>
      <t xml:space="preserve">No Disponibles. </t>
    </r>
    <r>
      <rPr>
        <sz val="10"/>
        <rFont val="Arial"/>
        <family val="2"/>
      </rPr>
      <t>Lluvias</t>
    </r>
  </si>
  <si>
    <t xml:space="preserve">        Domingos y Feriados</t>
  </si>
  <si>
    <t xml:space="preserve">                        Otros</t>
  </si>
  <si>
    <t>Subtotal No Disponibles</t>
  </si>
  <si>
    <t>Días Disponibles</t>
  </si>
  <si>
    <t>Duración Día (Hs)</t>
  </si>
  <si>
    <r>
      <t>Tiempo No Disponible.</t>
    </r>
    <r>
      <rPr>
        <sz val="10"/>
        <rFont val="Arial"/>
        <family val="2"/>
      </rPr>
      <t xml:space="preserve"> Descanso </t>
    </r>
  </si>
  <si>
    <t xml:space="preserve">            Trabajo Indirecto Disponible</t>
  </si>
  <si>
    <t>Subtotal Hs/Día</t>
  </si>
  <si>
    <t>Tiempo Disponible</t>
  </si>
  <si>
    <t>Tiempo Disponible Hs/mes</t>
  </si>
  <si>
    <t>OFERTA MES TRACTOR GRANDE</t>
  </si>
  <si>
    <t xml:space="preserve">DEMANDA </t>
  </si>
  <si>
    <t>BALANCE TRACTOR GRANDE</t>
  </si>
  <si>
    <t>OFERTA MES TRACTOR CHICO</t>
  </si>
  <si>
    <t>BALANCE TRACTOR CHICO</t>
  </si>
  <si>
    <t>TIEMPO DISPONIBLE (Horas Extras)</t>
  </si>
  <si>
    <r>
      <t>Tiempo No Disponible.</t>
    </r>
    <r>
      <rPr>
        <sz val="10"/>
        <rFont val="Arial"/>
        <family val="0"/>
      </rPr>
      <t xml:space="preserve"> Descanso </t>
    </r>
  </si>
  <si>
    <t>maquinarias. Tenga en cuenta lo siguiente:</t>
  </si>
  <si>
    <t xml:space="preserve">1) La zona sombreada con amarillo, contiene fórmulas, por lo tanto si se las modifica, la tabla </t>
  </si>
  <si>
    <t>pierde utilidad práctica.</t>
  </si>
  <si>
    <t>2) Las maquinarias y herramientas puede ud. modificarlas según lo que desea averiguar, al igual</t>
  </si>
  <si>
    <t>que los valores y horas de uso de las mismas.</t>
  </si>
  <si>
    <t xml:space="preserve">Mediante las siguientes tablas se puede calcular de modo rápido el costo de uso de diferentes </t>
  </si>
  <si>
    <t>RESUMEN CALCULO UTA</t>
  </si>
  <si>
    <t>ANCHO TOTAL M</t>
  </si>
  <si>
    <t>Ancho efectivo</t>
  </si>
  <si>
    <t>Tiempo efectivo</t>
  </si>
  <si>
    <t>Velocidad Km/h</t>
  </si>
  <si>
    <t>Cap. de Trabajos ha/h</t>
  </si>
  <si>
    <t>Tiempo Operativo h/ha</t>
  </si>
  <si>
    <t>Tabla de coeficientes en el uso de diferentes maquinarias</t>
  </si>
  <si>
    <t>Es necesario aclarar que los precios se pueden ver modificados con suma rapidez.</t>
  </si>
  <si>
    <t>La zona sombreada con celeste contiene fórmulas.</t>
  </si>
  <si>
    <t>Para poder comparar ingrese los valores actualizados de los diferentes insumos</t>
  </si>
  <si>
    <t>SOJA</t>
  </si>
  <si>
    <t>Semilla</t>
  </si>
  <si>
    <t>Herbicida Glifosato</t>
  </si>
  <si>
    <t>Herbicida hoja ancha</t>
  </si>
  <si>
    <t>Insecticidas</t>
  </si>
  <si>
    <t xml:space="preserve">  CRÍA</t>
  </si>
  <si>
    <t>IMPUESTO A LAS GANANCIAS (Personas Físicas) AÑO 2.004</t>
  </si>
  <si>
    <t>RENATRE</t>
  </si>
  <si>
    <t>COD JUB.</t>
  </si>
  <si>
    <t>I.N.J.P DEC.1273</t>
  </si>
  <si>
    <t>O.S. DEC. 1273</t>
  </si>
  <si>
    <t>ESQUEMA DE CALCULO ANTERIOR</t>
  </si>
  <si>
    <t>SALDOS INICIALES</t>
  </si>
  <si>
    <t>MES 1</t>
  </si>
  <si>
    <t>MES 2</t>
  </si>
  <si>
    <t>MES 3</t>
  </si>
  <si>
    <t>MES 4</t>
  </si>
  <si>
    <t>MES 5</t>
  </si>
  <si>
    <t>MES 6</t>
  </si>
  <si>
    <t>MES 7</t>
  </si>
  <si>
    <t>MES 8</t>
  </si>
  <si>
    <t>MES 9</t>
  </si>
  <si>
    <t>MES 10</t>
  </si>
  <si>
    <t>MES 11</t>
  </si>
  <si>
    <t>MES 12</t>
  </si>
  <si>
    <t>IVA DEBITO FISCAL (VENTAS)</t>
  </si>
  <si>
    <t>IVA CREDITO FISCAL (COMPRAS)</t>
  </si>
  <si>
    <t>PAGO A CUENTA (GAS OIL)</t>
  </si>
  <si>
    <t>SALDO TECNICO DEL MES</t>
  </si>
  <si>
    <t>RETENCIONES (VENTAS)</t>
  </si>
  <si>
    <t>PERCEPCIONES (COMPRAS)</t>
  </si>
  <si>
    <t>DEVOLUCIONES DEL MES</t>
  </si>
  <si>
    <t>SALDO DE LIBRE DISPONIBILIDAD</t>
  </si>
  <si>
    <t>A FAVOR CONTRIB.</t>
  </si>
  <si>
    <t>A FAVOR AFIP</t>
  </si>
  <si>
    <t>TOTAL DEBITO FISCAL</t>
  </si>
  <si>
    <t>TOTAL CREDITO FISCAL</t>
  </si>
  <si>
    <t>TOTAL PAGO A CUENTA</t>
  </si>
  <si>
    <t>SALDOS</t>
  </si>
  <si>
    <t>TOTAL RETENCIONES</t>
  </si>
  <si>
    <t>TOTAL PERCEPCIONES</t>
  </si>
  <si>
    <t>TOTAL DEVOLUCIONES</t>
  </si>
  <si>
    <t>El saldo de Libre disponibilidad que pasa al siguiente ejercicio será</t>
  </si>
  <si>
    <t>12463 - 3830 =</t>
  </si>
  <si>
    <t>ESQUEMA DE CALCULO ACTUAL</t>
  </si>
  <si>
    <t>SALDO DE L. DISP. DEL MES</t>
  </si>
  <si>
    <t>SALDOS QUE PASAN AL EJERCICIO SIGUIENTE</t>
  </si>
  <si>
    <t>SALDO TECNICO</t>
  </si>
  <si>
    <t>Uso exclusivo para IVA</t>
  </si>
  <si>
    <t>SALDO DE L. DISPONIBILIDAD</t>
  </si>
  <si>
    <t>Puedo cancelar otros impuestos</t>
  </si>
  <si>
    <t>ESQUEMA DE CALCULO EN EL SISTEMA ANTERIOR</t>
  </si>
  <si>
    <t>SALDO TECNICO ANTERIOR</t>
  </si>
  <si>
    <t>IVA DEBITO FISCAL DEL MES</t>
  </si>
  <si>
    <t>IVA CREDITO FISCAL DEL MES</t>
  </si>
  <si>
    <t>SALDO TECNICO ACTUAL</t>
  </si>
  <si>
    <t>PAGOS A CUENTA (GAS OIL)</t>
  </si>
  <si>
    <t>SALDO L. DISP. ANTERIOR</t>
  </si>
  <si>
    <t>RET. Y PERC. DEL MES</t>
  </si>
  <si>
    <t>SALDO DE L. DISP. ACTUAL</t>
  </si>
  <si>
    <t>RESUMEN FIN DE EJERCICIO Y REACOMODAMIENTO DE SALDOS</t>
  </si>
  <si>
    <t>SALDOS TECNICOS</t>
  </si>
  <si>
    <t>SALDOS DE LIBRE DISPONIBILIDAD</t>
  </si>
  <si>
    <t>TOTAL RET. Y PERC.</t>
  </si>
  <si>
    <t>SALDO L. DISP. ACTUAL</t>
  </si>
  <si>
    <t>SALDO A FAVOR CONT.</t>
  </si>
  <si>
    <t>PAGO SALDO TECNICO</t>
  </si>
  <si>
    <t>SALDO A FAVOR AFIP</t>
  </si>
  <si>
    <t>SALDO L. DISP.</t>
  </si>
  <si>
    <t>ESQUEMA DE CALCULO EN EL SISTEMA ACTUAL</t>
  </si>
  <si>
    <t>PROCESO ANTERIOR (HASTA 31-12-2004)</t>
  </si>
  <si>
    <t>N. GRAV</t>
  </si>
  <si>
    <t>ALIC. IVA</t>
  </si>
  <si>
    <t>N. GRAV.</t>
  </si>
  <si>
    <t>RETENC. IVA</t>
  </si>
  <si>
    <t>SEMILLAS</t>
  </si>
  <si>
    <t>HACIENDA</t>
  </si>
  <si>
    <t>AGROQUIMICOS</t>
  </si>
  <si>
    <t>CEREALES (EXCEPTO ARROZ)</t>
  </si>
  <si>
    <t>COMBUSTIBLE (2704,53 LITROS)</t>
  </si>
  <si>
    <t>OLEAGINOSAS</t>
  </si>
  <si>
    <t>A. P/HACIENDA (INC.ROLLOS DE ALFALFA)</t>
  </si>
  <si>
    <t>SERV. TRILLA, LAB. Y PULV.</t>
  </si>
  <si>
    <t>FLETES</t>
  </si>
  <si>
    <t>ALGODÓN Y CAÑA DE AZUCAR</t>
  </si>
  <si>
    <t>SERV. DE SECADA Y COMISIONES DE VENTAS</t>
  </si>
  <si>
    <t>ROLLOS Y FARDOS PASTURAS</t>
  </si>
  <si>
    <t>PRODUCTOS DE VETERINARIA</t>
  </si>
  <si>
    <t>MAT. DE CONST.</t>
  </si>
  <si>
    <t>REPUESTOS Y REPARACIONES</t>
  </si>
  <si>
    <t>RETENCIONES SUJETAS A DEVOLUCION</t>
  </si>
  <si>
    <t>TOTAL SALDO L. DISPONIBILIDAD</t>
  </si>
  <si>
    <t>MAQUINARIA EN GENERAL</t>
  </si>
  <si>
    <t>SERV. DE LABOREO, PULV. Y TRILLA</t>
  </si>
  <si>
    <t>SERVICIOS FINANCIEROS (INTERESES)</t>
  </si>
  <si>
    <t>LUZ Y TELEFONO</t>
  </si>
  <si>
    <t>PAGO A CUENTA $0,15 POR LITRO DE GAS OIL</t>
  </si>
  <si>
    <t>SITUACION MES 1</t>
  </si>
  <si>
    <t>IVA DEBITO FISCAL (POR VENTAS)</t>
  </si>
  <si>
    <t>IVA CREDITO FISCAL (POR COMPRAS)</t>
  </si>
  <si>
    <t>DIFERENCIA (CREDITO - DEBITO)</t>
  </si>
  <si>
    <t>¿Cómo pago?</t>
  </si>
  <si>
    <t>Primero uso LOS PAGOS A CUENTA</t>
  </si>
  <si>
    <t>Si no me alcanza utilizo SALDO DE L. DISP.</t>
  </si>
  <si>
    <t>SALDO DE L. DISP. P/EJERC. SIG.</t>
  </si>
  <si>
    <t>COMBUSTIBLE (3200 LITROS)</t>
  </si>
  <si>
    <t>SITUACION MES 2</t>
  </si>
  <si>
    <t>CIERRE DE EJERCICIO Y REACOMOCAMIENTO DE SALDOS</t>
  </si>
  <si>
    <t>TOTAL IVA DEBITO FISCAL DEL EJERCICIO</t>
  </si>
  <si>
    <t>TOTAL IVA CREDITO FISCAL DEL EJERCICIO</t>
  </si>
  <si>
    <t>SALDO DE LIBRE DISP. DEL EJERCICIO</t>
  </si>
  <si>
    <t>PROCESO ACTUAL (DESDE 01-01-2005)</t>
  </si>
  <si>
    <t>CREDITO FISCAL (SALDO TECNICO)</t>
  </si>
  <si>
    <t>SALDO LIB. DISPONIBILIDAD</t>
  </si>
  <si>
    <t>S. INICIALES</t>
  </si>
  <si>
    <t>SALDOS ANUALES</t>
  </si>
  <si>
    <t>AFIP</t>
  </si>
  <si>
    <t>I.V.A. D. FISCAL</t>
  </si>
  <si>
    <t>I.V.A. C. FISCAL</t>
  </si>
  <si>
    <t>PAGOS A CUENTA</t>
  </si>
  <si>
    <t>SALDO A PAGAR</t>
  </si>
  <si>
    <t>SALDOS DE L. DISPONIBILIDAD</t>
  </si>
  <si>
    <t>RETENCIONES I.V.A.</t>
  </si>
  <si>
    <t>PERCEPCIONES I.V.A.</t>
  </si>
  <si>
    <t>DEVOLUCIONES DE RETENCIONES</t>
  </si>
  <si>
    <t>SALDO TECNICO A FAVOR</t>
  </si>
  <si>
    <t>A PAGAR</t>
  </si>
  <si>
    <t>El productor debe pagar de su bolsillo</t>
  </si>
  <si>
    <t>Saldo Técnico a favor</t>
  </si>
  <si>
    <t>Dinero Inmovilizado</t>
  </si>
  <si>
    <t>ESQUEMA DE CALCULO ANTERIOR HASTA 31-12-2004</t>
  </si>
  <si>
    <t>SOJA CONVENCIONAL</t>
  </si>
  <si>
    <t>EPOCA DE SIEMBRA: 25/10 AL15/12</t>
  </si>
  <si>
    <t>DATOS/HA</t>
  </si>
  <si>
    <t xml:space="preserve">    Herbicida Pivot - 1 Lt. / Has.</t>
  </si>
  <si>
    <t>SOJA DIRECTA</t>
  </si>
  <si>
    <t>EPOCA DE SIEMBRA: 30/11 AL20/12</t>
  </si>
  <si>
    <t>SORGO</t>
  </si>
  <si>
    <t>EPOCA DE SIEMBRA: 30/10 AL10/12</t>
  </si>
  <si>
    <t>TRIGO DIRECTA</t>
  </si>
  <si>
    <t>EPOCA DE SIEMBRA: 25/05 AL20/06</t>
  </si>
  <si>
    <t>GIRASOL DIRECTA</t>
  </si>
  <si>
    <t>EPOCA DE SIEMBRA: 15/08 AL10/09</t>
  </si>
  <si>
    <t xml:space="preserve">    Semilla  95 Kgr/Has.( incluye resiembra) </t>
  </si>
  <si>
    <t xml:space="preserve">    Round up 2,5 lts/ha</t>
  </si>
  <si>
    <t xml:space="preserve">    Semilla  3,5 Kgr/Has.( incluye resiembra) </t>
  </si>
  <si>
    <t xml:space="preserve">    Atrazina 3 lts/ha</t>
  </si>
  <si>
    <t>ITEM COMPONENTES</t>
  </si>
  <si>
    <t>Precio</t>
  </si>
  <si>
    <t>R E N D I M I E N T O S     E N      KGS/HAS</t>
  </si>
  <si>
    <t xml:space="preserve"> 1)     Ingresos Brutos :</t>
  </si>
  <si>
    <t>Total Ingresos Brutos</t>
  </si>
  <si>
    <t xml:space="preserve">  </t>
  </si>
  <si>
    <t>2)      Implantación  y  Protección :</t>
  </si>
  <si>
    <t xml:space="preserve">  (A)      Sub. Total Laboreos</t>
  </si>
  <si>
    <t xml:space="preserve">      Semilla Curada c/Fung. Sist.</t>
  </si>
  <si>
    <t xml:space="preserve">      Herbicida Trifluralina</t>
  </si>
  <si>
    <t xml:space="preserve">      Fertilizante Fosf-Diam- PSI</t>
  </si>
  <si>
    <t xml:space="preserve">      Fertilizante Urea - POE</t>
  </si>
  <si>
    <t xml:space="preserve">      Insecticida  Monocrotofos  ( Chinches) 1 Trat.</t>
  </si>
  <si>
    <t xml:space="preserve">      Dimetoato 50% ( Pulgones - Trips) - 2 Tratam.x 0,4 lts./ha.</t>
  </si>
  <si>
    <t xml:space="preserve">      Insecticida Decis (Cap.-Lag.-Def.) - 2 Trat.</t>
  </si>
  <si>
    <t xml:space="preserve">     Humectante - 5 Trat. x 0,1 Lt./ha.</t>
  </si>
  <si>
    <t>(B)  Sub. Total Insumos</t>
  </si>
  <si>
    <t>(A + B) TOTAL IMPLANTACION Y PROTECCION</t>
  </si>
  <si>
    <t>(3) Gastos Cosecha - Comercialización -etc..</t>
  </si>
  <si>
    <t xml:space="preserve">     Flete Algodón en Bruto - $ Por Tn .-</t>
  </si>
  <si>
    <t xml:space="preserve">     Retenciones :</t>
  </si>
  <si>
    <t xml:space="preserve">     Asesoramiento  1,5% S/Bruto</t>
  </si>
  <si>
    <t>debemos considerar además que los $0,22 por litro, que se abona como Impuesto</t>
  </si>
  <si>
    <t>que pueden ser tomados, por el productor, como anticipo del Impuesto a las Ganancias</t>
  </si>
  <si>
    <t>o para el pago de I.V.A.</t>
  </si>
  <si>
    <t>(160000+48000)/2*8%</t>
  </si>
  <si>
    <t>(35000+7000)/2*8%</t>
  </si>
  <si>
    <t xml:space="preserve">(C)  TOTAL COSECHA - COMERCIALIZ. - etc. </t>
  </si>
  <si>
    <t xml:space="preserve">         TOTAL GASTOS DIRECTOS</t>
  </si>
  <si>
    <t xml:space="preserve">         MARGEN BRUTO   </t>
  </si>
  <si>
    <t xml:space="preserve">   Semilla  70 Kgr/Has.( incluye resiembra) </t>
  </si>
  <si>
    <t>PRECIO AL</t>
  </si>
  <si>
    <t xml:space="preserve">PRECIO AL </t>
  </si>
  <si>
    <t>ALGODÓN</t>
  </si>
  <si>
    <t xml:space="preserve">      Algodón en Bruto   (por tn.)</t>
  </si>
  <si>
    <t>Cantidades</t>
  </si>
  <si>
    <t>RENDIMIENTOS EN KGR. POR HECTAREAS</t>
  </si>
  <si>
    <t>PIZARRA  ROSARIO  ( La Ton.)</t>
  </si>
  <si>
    <t xml:space="preserve">    Semilla Trihibrida ($/Bol. 45.-/20 Kilos)</t>
  </si>
  <si>
    <t xml:space="preserve">    Insecticida (Cipermetrina)</t>
  </si>
  <si>
    <t xml:space="preserve">    Atrazina- 3 Litros/Ha. </t>
  </si>
  <si>
    <t>3) GASTOS COSECHA Y COMERCIALIZACION :</t>
  </si>
  <si>
    <t xml:space="preserve">    Cosecha (Porcentaje s/Rendimiento)  10%</t>
  </si>
  <si>
    <t xml:space="preserve">    Flete Maiz en bruto-  $ 15.-  por Ton.</t>
  </si>
  <si>
    <t>Retenciones:</t>
  </si>
  <si>
    <t xml:space="preserve">    Leyes  Previsionales - (I.S.S.A.R.A. -  D.N.R.P.) $0.25 / Ton.</t>
  </si>
  <si>
    <t xml:space="preserve">    TOTAL GASTOS DIRECTOS</t>
  </si>
  <si>
    <t>MANEJO de la PLANILLA</t>
  </si>
  <si>
    <t>El precio del producto puede ser modificado de acuerdo a la pizarra de cada día y con él se modifican automáticamente todas las celdas que están influidas</t>
  </si>
  <si>
    <t>por el mismo. De cualquier manera se puede manejar la posibilidad de modificar porcentualmente el precio para poder ver, de ese modo, la influencia de un</t>
  </si>
  <si>
    <t>alza o una baja en los precios sobre los márgenes calculados a priori.</t>
  </si>
  <si>
    <t xml:space="preserve">El valor de la UTA también puede ser modificado de acuerdo a las realidades del caso y a la región de que se trate; también será de influencia el hecho de </t>
  </si>
  <si>
    <t xml:space="preserve">que las labores sean contratadas o realizadas por el propio productor. </t>
  </si>
  <si>
    <t>Tenemos además distintos niveles de rendimientos a los que se les puede introducir modificaciones atendiendo a los niveles medios de cada zona o a los</t>
  </si>
  <si>
    <t>rendimientos medios de cada potrero cuando se quiere realizar un control o historia de cada lote. Además con sólo introducir el rendimiento real en la celda</t>
  </si>
  <si>
    <t>en blanco de la derecha Ud., podrá obtener y ver los resultados, logrando de ese modo un análisis más profundo y de mayor certeza.</t>
  </si>
  <si>
    <t xml:space="preserve">Cada nivel de rendimiento nos dará el ingreso bruto que se obtiene  a través de una operación ya formulada en la planilla. </t>
  </si>
  <si>
    <t>Las labores se pueden introducir a través de los códigos que figuran en la planilla anexa obteniendo además el equivalente UTA de manera automática para</t>
  </si>
  <si>
    <t>dicha labor. Mediante una operación posterior se lleva a valor PESOS por Hectárea cada una de las labores que multiplicada por la cantidad de veces que</t>
  </si>
  <si>
    <t>se realiza la misma obtenemos el costo total por hectárea de dicha labor.</t>
  </si>
  <si>
    <t>Los insumos utilizados para cada cultivo se pueden ingresar directamente en la planilla como así tambien sus dosis y precios y con éstos datos cargados</t>
  </si>
  <si>
    <t>la operación se realiza en forma automática para el cálculo del costo por hectárea. Los insumos que nosotros ponemos como así también sus dosis son</t>
  </si>
  <si>
    <t>sólo orientativos pudiendo cada productor modificarlos de acuerdo a su modalidad de trabajo y a los insumos que él utiliza.</t>
  </si>
  <si>
    <t>El rubro de labores y el de insumos constituyen el costo directo de cada cultivo que aparecen en una suma de costos directos.</t>
  </si>
  <si>
    <t xml:space="preserve">El siguiente sector de la planilla nos muestra los gastos de cosecha y de comercialización los cuales pueden modificarse de acuerdo a los valores </t>
  </si>
  <si>
    <t>reales de cada región y de cada productor en particular.</t>
  </si>
  <si>
    <t xml:space="preserve">Sumados los costos directos más los gastos de comercialización y cosecha obtenemos el costo total por hectárea y de la diferencia del ingreso total </t>
  </si>
  <si>
    <t>con  dicho costo se obtiene el margen bruto por hectárea de acuerdo a cada nivel de rendimiento.</t>
  </si>
  <si>
    <t>Como podemos observar el productor tiene además otros costos que no están reflejados en esta planilla y que tienen que ver con el tamaño de la empresa,</t>
  </si>
  <si>
    <t>su nivel de endeudamiento, las reparaciones y otros gastos como así también lo que él y su familia necesitan para vivir; por lo cual consideramos que el</t>
  </si>
  <si>
    <t xml:space="preserve">análisis se debe profundizar y no quedarnos con un simple margen bruto como herramienta de cálculo para una rentabilidad que no es tal. Ocurre que </t>
  </si>
  <si>
    <t>éstos costos y egresos no pueden ser homogeneizados en una planilla de cálculo, podemos sin embargo ejemplificar con algunos casos reales de manera</t>
  </si>
  <si>
    <t>que cada productor pueda introducir dentro de sus cálculos todos aquellos conceptos que de una u otra manera van a influir en la rentabilidad final de cada</t>
  </si>
  <si>
    <t>cultivo ampliando de ese modo la posibilidad de poder determinar, aunque sea en los papeles, cual podrá llegar a ser el ingreso neto por hectárea del</t>
  </si>
  <si>
    <t>cultivo seleccionado y del nivel de rendimiento que él espera obtener.</t>
  </si>
  <si>
    <t xml:space="preserve">    MARGEN BRUTO POR HECTAREA</t>
  </si>
  <si>
    <t>MARGEN BRUTO TOTAL</t>
  </si>
  <si>
    <t>KGS/HA ESPERADOS</t>
  </si>
  <si>
    <t>MAIZ</t>
  </si>
  <si>
    <t xml:space="preserve">      (1 Trat.Terrrestre c/2 Añosp/Orugas Cortadoras)</t>
  </si>
  <si>
    <t xml:space="preserve">      (1 Trat.Aereo c/2 Añosp/Orugas de la Hoja)</t>
  </si>
  <si>
    <t xml:space="preserve">     Cosecha  Mecánica-- $/Ton.</t>
  </si>
  <si>
    <t>TABLA DE MONTOS</t>
  </si>
  <si>
    <t>Montos vigentes a partir del 01/10/04</t>
  </si>
  <si>
    <t>VALOR GRAL.</t>
  </si>
  <si>
    <t>ZONA 1</t>
  </si>
  <si>
    <t>ZONA 2</t>
  </si>
  <si>
    <t>ZONA 3</t>
  </si>
  <si>
    <t>ZONA 4</t>
  </si>
  <si>
    <t>MATERNIDAD</t>
  </si>
  <si>
    <t>Sin tope remunerativo</t>
  </si>
  <si>
    <t>Remuneración entre $ 100.- y $ 2.024,99.-</t>
  </si>
  <si>
    <t>---------</t>
  </si>
  <si>
    <t>Remuneración entre $ 100.- y $ 2.374,99.-</t>
  </si>
  <si>
    <t>ADOPCIÓN</t>
  </si>
  <si>
    <t>MATRIMONIO</t>
  </si>
  <si>
    <t>PRENATAL</t>
  </si>
  <si>
    <t>Remuneración entre $ 100.- y $ 724,99.-</t>
  </si>
  <si>
    <t>Remuneración entre $ 725.- y $ 1.224,99.-</t>
  </si>
  <si>
    <t>Remuneración entre $ 1.225.- y $ 2.024,99.-</t>
  </si>
  <si>
    <t>Remuneración entre $ 2.025.- y $ 2.374,99.-</t>
  </si>
  <si>
    <t>HIJO CON DISCAPACIDAD</t>
  </si>
  <si>
    <t>Remuneración hasta $ 724,99.-</t>
  </si>
  <si>
    <t>Remuneración superior a $ 1.224,99.-</t>
  </si>
  <si>
    <t>AYUDA ESCOLAR ANUAL</t>
  </si>
  <si>
    <t>AYUDA ESCOLAR ANUAL PARA HIJO CON DISCAPACIDAD</t>
  </si>
  <si>
    <t>Sin tope remuneratorio</t>
  </si>
  <si>
    <t>CONTROL CARGA  Y DESPACHO COSECHA</t>
  </si>
  <si>
    <t xml:space="preserve">     OTROS DETALLES A CONSIDERAR</t>
  </si>
  <si>
    <t>FECHA PAGO</t>
  </si>
  <si>
    <t xml:space="preserve">             MERMAS</t>
  </si>
  <si>
    <t xml:space="preserve">   LLEGADA A DESTINO</t>
  </si>
  <si>
    <t>HUMEDAD</t>
  </si>
  <si>
    <t>APELLIDO Y NOMBRES</t>
  </si>
  <si>
    <t>HORA</t>
  </si>
  <si>
    <t>TABLA DE MERMA POR SECADO PARA MAIZ</t>
  </si>
  <si>
    <t>TABLA DE MERMA POR SECADO PARA SOJA</t>
  </si>
  <si>
    <t>Humedad</t>
  </si>
  <si>
    <t>Merma</t>
  </si>
  <si>
    <t>Nota: El porcentaje de merma de las tablas se calcula con la siguiente fórmula:</t>
  </si>
  <si>
    <r>
      <t xml:space="preserve">%Merma = </t>
    </r>
    <r>
      <rPr>
        <u val="single"/>
        <sz val="10"/>
        <rFont val="Arial"/>
        <family val="2"/>
      </rPr>
      <t xml:space="preserve">Hi - Hf   </t>
    </r>
    <r>
      <rPr>
        <sz val="10"/>
        <rFont val="Arial"/>
        <family val="0"/>
      </rPr>
      <t xml:space="preserve"> * 100 </t>
    </r>
  </si>
  <si>
    <t>100 - Hf</t>
  </si>
  <si>
    <t>siendo Hi: humedad inicial</t>
  </si>
  <si>
    <t>Merma por manipuleo, adicionar 0,25 %</t>
  </si>
  <si>
    <t xml:space="preserve">           Hf: humedad final</t>
  </si>
  <si>
    <t>RUBROS</t>
  </si>
  <si>
    <t>BASE</t>
  </si>
  <si>
    <t>( % )</t>
  </si>
  <si>
    <t>INDICE</t>
  </si>
  <si>
    <t>01-0125874563</t>
  </si>
  <si>
    <t>PTO. S. MARTIN</t>
  </si>
  <si>
    <t>AWQ 774</t>
  </si>
  <si>
    <t>XZP 456</t>
  </si>
  <si>
    <t>GALARZA JUAN</t>
  </si>
  <si>
    <t>secada</t>
  </si>
  <si>
    <t>OTRAS GASTOS</t>
  </si>
  <si>
    <t>La Juntadora S.R.L.</t>
  </si>
  <si>
    <t>TOLERANCIA ( % )</t>
  </si>
  <si>
    <t>REBAJAS</t>
  </si>
  <si>
    <t>MERMAS</t>
  </si>
  <si>
    <t>MATERIAS EXTRAÑAS</t>
  </si>
  <si>
    <t>Para valores superiores al 1,0% y hasta el 3,0% a razón del 1,0% por cada por ciento o fracción proporcional. Para valores superiores al 3,0% a razón del 1,5% por cada por ciento o fracción proporcional.</t>
  </si>
  <si>
    <t>incluido TIERRA</t>
  </si>
  <si>
    <t>Para valores superiores al 0,5% a razón del 1,5% por cada por ciento o fracción proporcional.</t>
  </si>
  <si>
    <t>GRANOS NEGROS</t>
  </si>
  <si>
    <t>---</t>
  </si>
  <si>
    <t>------------</t>
  </si>
  <si>
    <t>GRANOS QUEBRADOS Y/ O PARTIDOS</t>
  </si>
  <si>
    <t>Para valores superiores al 20,0% y hasta el 25,0% a razón del 0,25% por cada por ciento o fracción proporcional. Para valores superiores al 25,0% y hasta el 30,0% a razón del 0,5% por cada por ciento o fracción proporcional. Para valores superiores al 30,0% a razón del 0,75% por cada por ciento o fracción proporcional.</t>
  </si>
  <si>
    <t>GRANOS DAÑADOS (brotados, fermentados y ardidos, por calor, podridos)</t>
  </si>
  <si>
    <t>Para valores superiores al 5,0% a razón del 1,0% por cada por ciento o fracción proporcional.</t>
  </si>
  <si>
    <t>incluido GRANOS QUEMADOS o "AVERIA"</t>
  </si>
  <si>
    <t>Para valores superiores al 1,0% a razón del 1,0% por cada por ciento o fracción proporcional.</t>
  </si>
  <si>
    <t>GRANOS VERDES</t>
  </si>
  <si>
    <r>
      <t>15,0</t>
    </r>
    <r>
      <rPr>
        <sz val="8"/>
        <rFont val="Verdana"/>
        <family val="2"/>
      </rPr>
      <t xml:space="preserve"> </t>
    </r>
    <r>
      <rPr>
        <b/>
        <sz val="8"/>
        <color indexed="10"/>
        <rFont val="Verdana"/>
        <family val="2"/>
      </rPr>
      <t>(*)</t>
    </r>
  </si>
  <si>
    <r>
      <t>Para valores superiores al 5,0% se rebajará a razón del 0,2% por cada por ciento o fracción proporcional.</t>
    </r>
    <r>
      <rPr>
        <sz val="8"/>
        <rFont val="Verdana"/>
        <family val="2"/>
      </rPr>
      <t xml:space="preserve"> </t>
    </r>
    <r>
      <rPr>
        <b/>
        <sz val="8"/>
        <color indexed="10"/>
        <rFont val="Verdana"/>
        <family val="2"/>
      </rPr>
      <t>(**)</t>
    </r>
  </si>
  <si>
    <t>----</t>
  </si>
  <si>
    <t>---------------</t>
  </si>
  <si>
    <t>Para mercadería recibida que exceda la tolerancia de recibo, se descontarán las mermas correspondientes, de acuerdo a las tablas establecidas.</t>
  </si>
  <si>
    <t>CHAMICO</t>
  </si>
  <si>
    <t>2 semillas (c/100gr)</t>
  </si>
  <si>
    <t>----------------</t>
  </si>
  <si>
    <t>Para mercadería recibida que exceda la tolerancia de recibo, se practicarán las mermas correspondientes.</t>
  </si>
  <si>
    <t>ESTANDARES DE COMERCIALIZACION SOJA</t>
  </si>
  <si>
    <t>Tolerancia máxima por grado (%)</t>
  </si>
  <si>
    <t>Grado</t>
  </si>
  <si>
    <t>Materias extrañas</t>
  </si>
  <si>
    <t>Granos quebrados y/o chuzos</t>
  </si>
  <si>
    <t>Actual</t>
  </si>
  <si>
    <t>Desde</t>
  </si>
  <si>
    <t> 01/10/05</t>
  </si>
  <si>
    <t xml:space="preserve">Desde </t>
  </si>
  <si>
    <t>0.6</t>
  </si>
  <si>
    <t>0.4</t>
  </si>
  <si>
    <t>0.2</t>
  </si>
  <si>
    <t>1.5</t>
  </si>
  <si>
    <t>0.8</t>
  </si>
  <si>
    <t>0.5</t>
  </si>
  <si>
    <t>1.25</t>
  </si>
  <si>
    <t>1.8</t>
  </si>
  <si>
    <t>1.2</t>
  </si>
  <si>
    <t>2.25</t>
  </si>
  <si>
    <t>3.5</t>
  </si>
  <si>
    <t xml:space="preserve">TABLA DE MERMA POR SECADO PARA TRIGO - AVENA - CEBADA  </t>
  </si>
  <si>
    <t>TABLA DE MERMA POR SECADO PARA SORGO GRANIFERO</t>
  </si>
  <si>
    <t>CENTENO - ARROZ CASCARA</t>
  </si>
  <si>
    <t>Merma por manipuleo, adicionar 0,25 % para Trigo</t>
  </si>
  <si>
    <t>Merma por manipuleo, adicionar 0,20 % para Avena, Cebada y Centeno.</t>
  </si>
  <si>
    <t>Merma por manipuleo, adicionar 0,125 % para Arroz Cáscara</t>
  </si>
  <si>
    <t>TABLA DE MERMA POR SECADO PARA GIRASOL</t>
  </si>
  <si>
    <t>KGS CAMPO</t>
  </si>
  <si>
    <t>KGS. TRILLADOR</t>
  </si>
  <si>
    <t>PATENTE CHASIS</t>
  </si>
  <si>
    <t>PATENTE ACOPLADO</t>
  </si>
  <si>
    <t>LOTE Nº</t>
  </si>
  <si>
    <t>KGS DESTINO</t>
  </si>
  <si>
    <t>CARTA DE PORTE Nº</t>
  </si>
  <si>
    <t>DATOS DEL TRANSPORTISTA</t>
  </si>
  <si>
    <t>DIF. ORIG.- DEST.</t>
  </si>
  <si>
    <t>POR TN.</t>
  </si>
  <si>
    <t>C. EXT.</t>
  </si>
  <si>
    <t>G. DAÑADOS</t>
  </si>
  <si>
    <t>TOTAL KGS. MERMA</t>
  </si>
  <si>
    <t>KGS A LIQUIDAR</t>
  </si>
  <si>
    <t>TRILLADIRES</t>
  </si>
  <si>
    <t xml:space="preserve">PRODUCTO:                          </t>
  </si>
  <si>
    <t>% TRILLA</t>
  </si>
  <si>
    <t>KGS DE ORIGEN</t>
  </si>
  <si>
    <t xml:space="preserve">    Semilla  190 Kgr/Has.( incluye resiembra) </t>
  </si>
  <si>
    <t xml:space="preserve">    Missil</t>
  </si>
  <si>
    <t xml:space="preserve">   Fosfato diamónico</t>
  </si>
  <si>
    <t xml:space="preserve">   Urea</t>
  </si>
  <si>
    <t xml:space="preserve">    Flete Arroz en bruto-  $ 12.-  por Ton.</t>
  </si>
  <si>
    <t>ARROZ</t>
  </si>
  <si>
    <t>MARGEN BRUTO "SOJA CONVENCIONAL" - PLANILLA de CALCULO</t>
  </si>
  <si>
    <t>MARGEN BRUTO "SOJA DIRECTA" - PLANILLA de CALCULO</t>
  </si>
  <si>
    <t>COD</t>
  </si>
  <si>
    <t>MARGEN BRUTO "SORGO" - PLANILLA de CALCULO</t>
  </si>
  <si>
    <t>MARGEN BRUTO "ALGODON" - PLANILLA de CALCULO</t>
  </si>
  <si>
    <t>GIRASOL CONVENCIONAL</t>
  </si>
  <si>
    <t>MARGEN BRUTO "GIRASOL DIRECTA" - PLANILLA de CALCULO</t>
  </si>
  <si>
    <t xml:space="preserve">   Riego (eq. 100 lts Gas oil/ha)</t>
  </si>
  <si>
    <t>PRECIO AL:</t>
  </si>
  <si>
    <t xml:space="preserve">    Flete Girasol en bruto-  $ 12.-  por Ton.</t>
  </si>
  <si>
    <t xml:space="preserve">    Impuesto sellos 0,121% (0,10% + 21% IVA)</t>
  </si>
  <si>
    <t>El Impuesto a los Sellos es del 0,10%, pero se calcula sobre el total con I.V.A. incluido, por lo cual en la planilla aparece como 0,121%</t>
  </si>
  <si>
    <t>4.1.2.1  MARGEN BRUTO "GIRASOL CONVENCIONAL" - PLANILLA de CALCULO</t>
  </si>
  <si>
    <t xml:space="preserve">   MARGEN BRUTO "ARROZ" - PLANILLA de CALCULO</t>
  </si>
  <si>
    <t xml:space="preserve"> MARGEN BRUTO "TRIGO DIRECTA" - PLANILLA de CALCULO</t>
  </si>
  <si>
    <t xml:space="preserve">  MARGEN BRUTO "MAIZ" - PLANILLA de CALCULO</t>
  </si>
  <si>
    <t xml:space="preserve">  MARGEN BRUTO "SOJA CONVENCIONAL" - PLANILLA de CALCULO</t>
  </si>
  <si>
    <t xml:space="preserve">   MARGEN BRUTO "SORGO" - PLANILLA de CALCULO</t>
  </si>
  <si>
    <t>CÁLCULO del COSTO de la ARADA PARA EL CONTRATISTA</t>
  </si>
  <si>
    <t>Se presenta una metodología sencilla y rápida para calcular el valor de la UTA de con-</t>
  </si>
  <si>
    <t>Cotizaciones</t>
  </si>
  <si>
    <t>Unidad</t>
  </si>
  <si>
    <t>Importe</t>
  </si>
  <si>
    <t>$</t>
  </si>
  <si>
    <t>Valor a Nuevo (VN) Tractor 160 HP</t>
  </si>
  <si>
    <t>Valor a Nuevo arado 5 rejas 14"</t>
  </si>
  <si>
    <t>Valor a Nuevo arado 11 rejas 14"</t>
  </si>
  <si>
    <t>Personal</t>
  </si>
  <si>
    <t>$/año</t>
  </si>
  <si>
    <t>Gas Oil</t>
  </si>
  <si>
    <t>$/litro (YPF)</t>
  </si>
  <si>
    <t>Los valores considerados son netos de I.V.A., y, en el caso particular del gas oil</t>
  </si>
  <si>
    <t>a los combustibles Líquidos, tampoco están sumados en el precio de referencia; ya</t>
  </si>
  <si>
    <t>Capacidad de Trabajo</t>
  </si>
  <si>
    <t>Consumo de gas oil</t>
  </si>
  <si>
    <t>Tractor de 160 HP</t>
  </si>
  <si>
    <t>Ha/hora</t>
  </si>
  <si>
    <t>litros/h</t>
  </si>
  <si>
    <t>Lubricantes:</t>
  </si>
  <si>
    <t>(sobre el consumo de gas oil en pesos)</t>
  </si>
  <si>
    <t xml:space="preserve">Gastos de conservación y reparaciones  </t>
  </si>
  <si>
    <t>Se estiman a través de coeficientes en pesos por hora ($/h).</t>
  </si>
  <si>
    <t xml:space="preserve">Los coeficientes de gastos de conservación y reparaciones así como los consumos, </t>
  </si>
  <si>
    <t>varían según características de cada equipo.</t>
  </si>
  <si>
    <t>Tractores:</t>
  </si>
  <si>
    <t>0.0000746 x valor a nuevo =</t>
  </si>
  <si>
    <t>$/hora</t>
  </si>
  <si>
    <t>Arados:</t>
  </si>
  <si>
    <t>0.0004 x valor a nuevo =</t>
  </si>
  <si>
    <t>* Personal:</t>
  </si>
  <si>
    <t>hs/año</t>
  </si>
  <si>
    <t>$/ha</t>
  </si>
  <si>
    <t>ha/hora</t>
  </si>
  <si>
    <t>* Combustibles y Lubricantes</t>
  </si>
  <si>
    <t xml:space="preserve">$/litro  =         </t>
  </si>
  <si>
    <t>$/h</t>
  </si>
  <si>
    <t>$/ha =</t>
  </si>
  <si>
    <t>$/hora  ó</t>
  </si>
  <si>
    <t>Lubricantes</t>
  </si>
  <si>
    <t>$/hora         ó</t>
  </si>
  <si>
    <t>* Reparaciones y conservación</t>
  </si>
  <si>
    <t xml:space="preserve">           X</t>
  </si>
  <si>
    <t>$/hora  =</t>
  </si>
  <si>
    <t>Arado de 5 rejas 0,00040 x valor a nuevo</t>
  </si>
  <si>
    <t>Arado de 11 rejas</t>
  </si>
  <si>
    <t>AMORTIZACIONES</t>
  </si>
  <si>
    <t>Vida Útil Tractores:</t>
  </si>
  <si>
    <t>hs.</t>
  </si>
  <si>
    <t>Vida Útil Arados:</t>
  </si>
  <si>
    <t>Uso Anual Tractores:</t>
  </si>
  <si>
    <t>Uso Anual Arados:</t>
  </si>
  <si>
    <t>Valor Residual Pasivo Tractores (VRP)</t>
  </si>
  <si>
    <t>del valor a nuevo</t>
  </si>
  <si>
    <t>Valor Residual Pasivo Arados (VRP)</t>
  </si>
  <si>
    <t>VN - VRP</t>
  </si>
  <si>
    <t>Vida Útil hs.</t>
  </si>
  <si>
    <t>Arado 5 rejas</t>
  </si>
  <si>
    <t>8000-1600</t>
  </si>
  <si>
    <t>Arado 11 rejas</t>
  </si>
  <si>
    <r>
      <t xml:space="preserve">INTERESES: </t>
    </r>
    <r>
      <rPr>
        <sz val="12"/>
        <rFont val="Times New Roman"/>
        <family val="1"/>
      </rPr>
      <t xml:space="preserve">se toma una tasa de interés anual del </t>
    </r>
  </si>
  <si>
    <t>Se estima considerando el capital promedio inmovilizado; es decir: el prome-</t>
  </si>
  <si>
    <t xml:space="preserve">dio entre el Valor a nuevo y el Valor Residual Pasivo; y al valor resultante </t>
  </si>
  <si>
    <t>se le aplica la tasa estimada.</t>
  </si>
  <si>
    <t>UTILIDAD DEL CONTRATISTA</t>
  </si>
  <si>
    <t>(Este valor puede estar entre el 20 y el 30%).</t>
  </si>
  <si>
    <t>Valor a Nuevo (VN) Tractor 100 HP</t>
  </si>
  <si>
    <t>Valor a Nuevo (VN) Tractor 120 HP</t>
  </si>
  <si>
    <t>Valor a Nuevo arado 7 rejas 14"</t>
  </si>
  <si>
    <t>Tractor de 100 HP</t>
  </si>
  <si>
    <t>Tractor de 120 HP</t>
  </si>
  <si>
    <t>Los coeficientes de gastos de conservación y reparaciones así como los consu-</t>
  </si>
  <si>
    <t>mos varían según las características de cada equipo.</t>
  </si>
  <si>
    <t>Gas Oil 100 HP</t>
  </si>
  <si>
    <t>lts</t>
  </si>
  <si>
    <t>Lubricantes 100 HP 10% de</t>
  </si>
  <si>
    <t>$/ha   ó</t>
  </si>
  <si>
    <t>Gas Oil 120 HP</t>
  </si>
  <si>
    <t>Tractor de 100 HP:0,0000746 x valor a nuevo =</t>
  </si>
  <si>
    <t>$/hora     =</t>
  </si>
  <si>
    <t>0,0000746      x</t>
  </si>
  <si>
    <t>Arado de 7 rejas</t>
  </si>
  <si>
    <t>0,00040          x</t>
  </si>
  <si>
    <t>Tractor 100 HP</t>
  </si>
  <si>
    <t>75000-22500</t>
  </si>
  <si>
    <t>90000-27000</t>
  </si>
  <si>
    <t>Arado 7 rejas</t>
  </si>
  <si>
    <t>9500-1900</t>
  </si>
  <si>
    <t>Tractor100 HP</t>
  </si>
  <si>
    <t>(75000 + 22500/2*6%</t>
  </si>
  <si>
    <t>(8000+1600)/2*6%</t>
  </si>
  <si>
    <t>(90000 + 27000)/2*6%</t>
  </si>
  <si>
    <t>(9500 + 1900)/2*6%</t>
  </si>
  <si>
    <t xml:space="preserve">Se incluye una ganancia arbitraria para el contratista de 25% sobre el costo. </t>
  </si>
  <si>
    <t>NOTA:</t>
  </si>
  <si>
    <t xml:space="preserve">Respecto a los intereses, hay quienes siguen un criterio aun más estricto, realizando el </t>
  </si>
  <si>
    <t>cálculo año por año de acuerdo a los niveles de uso de la maquinaria.Planteamos aquí</t>
  </si>
  <si>
    <t>un ejemplo con el tractor de 120 HP para que podamos desarrollar la metodología de</t>
  </si>
  <si>
    <t>cálculo que se emplea.</t>
  </si>
  <si>
    <t>Vida Útil Tractor:</t>
  </si>
  <si>
    <t>Uso año 1</t>
  </si>
  <si>
    <t>Uso año 2</t>
  </si>
  <si>
    <t>Uso año 3</t>
  </si>
  <si>
    <t>Uso año 4</t>
  </si>
  <si>
    <t>TASA DE INTERES</t>
  </si>
  <si>
    <t>CALCULO DE INTERESES AÑO 1</t>
  </si>
  <si>
    <t xml:space="preserve"> Valor a Nuevo + Valor Residual al Cierre 1er. Año</t>
  </si>
  <si>
    <t>X</t>
  </si>
  <si>
    <t>% DE INTERES</t>
  </si>
  <si>
    <t xml:space="preserve">Debemos realizar un cálculo previo para aplicar la fórmula en forma simple; el de la </t>
  </si>
  <si>
    <t>Amortización, para estimar así el Valor Residual al Cierre.</t>
  </si>
  <si>
    <t>Como el cálculo de la Amortización ya lo tenemos desarrollado vamos a utilizar esos</t>
  </si>
  <si>
    <t>datos para realizar las estimaciones y así obtendremos el Valor Residual al Cierre</t>
  </si>
  <si>
    <t>del primer año:</t>
  </si>
  <si>
    <t>AMORT. AÑO 1=</t>
  </si>
  <si>
    <t>VA * HS. USO</t>
  </si>
  <si>
    <t>63000 * 2000</t>
  </si>
  <si>
    <t>V.U.</t>
  </si>
  <si>
    <t>Valor Residual =</t>
  </si>
  <si>
    <t>90000 - 12600</t>
  </si>
  <si>
    <t>Ahora tenemos todos los elementos para efectuar el cálculo, y, el mismo queda expre-</t>
  </si>
  <si>
    <t>sado del siguiente modo:</t>
  </si>
  <si>
    <t xml:space="preserve"> V. a Nuevo (38000)+ V. Res. al Cierre 1er. Año (32680)</t>
  </si>
  <si>
    <t>INTERES AÑO 1 =</t>
  </si>
  <si>
    <t>x</t>
  </si>
  <si>
    <t>CALCULO DE INTERESES AÑO 2</t>
  </si>
  <si>
    <t xml:space="preserve"> Valor Res. Al Inicio + Valor Residual al Cierre 2º Año</t>
  </si>
  <si>
    <t>AMORT. AÑO 2=</t>
  </si>
  <si>
    <t>90000 - 25200</t>
  </si>
  <si>
    <t xml:space="preserve"> V. al Inicio (32680)+ V. Res. al Cierre 2º Año (27360)</t>
  </si>
  <si>
    <t>INTERES AÑO 2 =</t>
  </si>
  <si>
    <t>CALCULO DE INTERESES AÑO 3</t>
  </si>
  <si>
    <t xml:space="preserve"> Valor Res. Al Inicio + Valor Residual al Cierre 3er Año</t>
  </si>
  <si>
    <t>AMORT. AÑO 3=</t>
  </si>
  <si>
    <t>90000 - 37800</t>
  </si>
  <si>
    <t xml:space="preserve"> V. al Inicio (27360)+ V. Res. al Cierre 3er Año (22040)</t>
  </si>
  <si>
    <t>INTERES AÑO 3 =</t>
  </si>
  <si>
    <t>CALCULO DE INTERESES AÑO 4</t>
  </si>
  <si>
    <t xml:space="preserve"> Valor Res. Al Inicio + Valor Residual al Cierre 4º Año</t>
  </si>
  <si>
    <t>AMORT. AÑO 4=</t>
  </si>
  <si>
    <t>26600 * 2000</t>
  </si>
  <si>
    <t>90000 - 50400</t>
  </si>
  <si>
    <t>INTERES AÑO 4 =</t>
  </si>
  <si>
    <t>COSTO DE LA ARADA</t>
  </si>
  <si>
    <t>TRACTOR DE 160 HP Y ARADO DE 11 REJAS</t>
  </si>
  <si>
    <t>$/HORA</t>
  </si>
  <si>
    <t>$/HA</t>
  </si>
  <si>
    <t>PERSONAL</t>
  </si>
  <si>
    <t>COMBUSTIBLE</t>
  </si>
  <si>
    <t>LUBRICANTES</t>
  </si>
  <si>
    <t>REPARAC. TRACTOR</t>
  </si>
  <si>
    <t>REPARAC. ARADO</t>
  </si>
  <si>
    <t>GASTO DIRECTO</t>
  </si>
  <si>
    <t>AMORT. TRACTOR</t>
  </si>
  <si>
    <t>AMORT. ARADO</t>
  </si>
  <si>
    <t>INTERESES TRACTOR</t>
  </si>
  <si>
    <t>INTERESES ARADO</t>
  </si>
  <si>
    <t>INTERESES</t>
  </si>
  <si>
    <t>COSTO TOTAL (G+A+I)</t>
  </si>
  <si>
    <t>COSTO TOTAL (G+A+I+U)</t>
  </si>
  <si>
    <t>EQUIPO</t>
  </si>
  <si>
    <t>TRACTOR 80 HP</t>
  </si>
  <si>
    <t>TRACTOR 100 HP</t>
  </si>
  <si>
    <t>TRACTOR 120 HP</t>
  </si>
  <si>
    <t>TRACTOR 160 HP</t>
  </si>
  <si>
    <t>10000HS.</t>
  </si>
  <si>
    <t>$/litro</t>
  </si>
  <si>
    <t>$160000-$48000</t>
  </si>
  <si>
    <t>UTILIDAD CONTRATISTA (35%)</t>
  </si>
  <si>
    <t>EL SIGUIENTE DESARROLLO TIENE UN MODO DIFERENTE DE CALCULO PARA LOS INTERESES</t>
  </si>
  <si>
    <t>tratista (1 arada de rejas) para un uso anual de 1.000 horas de los arados y 2.000 horas</t>
  </si>
  <si>
    <t>de los tractores.</t>
  </si>
  <si>
    <t>Concepto</t>
  </si>
  <si>
    <t>1) Capacidad de Trabajo</t>
  </si>
  <si>
    <t>2) Lubricantes:</t>
  </si>
  <si>
    <t xml:space="preserve">3) Gastos de conservación y reparaciones  </t>
  </si>
  <si>
    <t>Estimaciones calculadas con las bases presentadas</t>
  </si>
  <si>
    <t>a) Personal:</t>
  </si>
  <si>
    <t>b) Combustibles y Lubricantes</t>
  </si>
  <si>
    <t xml:space="preserve">Gas Oil </t>
  </si>
  <si>
    <t xml:space="preserve">$/hora  </t>
  </si>
  <si>
    <t>c) Reparaciones y conservación</t>
  </si>
  <si>
    <t>Tractor</t>
  </si>
  <si>
    <t>d) AMORTIZACIONES</t>
  </si>
  <si>
    <t>$35000-$7000</t>
  </si>
  <si>
    <r>
      <t xml:space="preserve">e) INTERESES: </t>
    </r>
    <r>
      <rPr>
        <sz val="12"/>
        <rFont val="Times New Roman"/>
        <family val="1"/>
      </rPr>
      <t xml:space="preserve">se toma una tasa de interés anual del </t>
    </r>
  </si>
  <si>
    <t>Se incluye una ganancia arbitraria para el contratista de 35% sobre el costo.</t>
  </si>
  <si>
    <t>(Este valor puede estar entre el 25 y el 40%).</t>
  </si>
  <si>
    <t>ESTIMACION DE COSTOS DE LA MAQUINARIA</t>
  </si>
  <si>
    <t>CONCEPTO</t>
  </si>
  <si>
    <t>UNIDAD</t>
  </si>
  <si>
    <t>TRACTOR</t>
  </si>
  <si>
    <t>SEMBRADORA</t>
  </si>
  <si>
    <t>PULV. ARRATRE</t>
  </si>
  <si>
    <t>a</t>
  </si>
  <si>
    <t>Precio de lista</t>
  </si>
  <si>
    <t>b</t>
  </si>
  <si>
    <t>Precio de compra</t>
  </si>
  <si>
    <t>c</t>
  </si>
  <si>
    <t>Horas acumuladas de uso</t>
  </si>
  <si>
    <t>horas</t>
  </si>
  <si>
    <t>d</t>
  </si>
  <si>
    <t>Años de uso estimados</t>
  </si>
  <si>
    <t>años</t>
  </si>
  <si>
    <t>e</t>
  </si>
  <si>
    <t>Tasa de interés anual</t>
  </si>
  <si>
    <t>%</t>
  </si>
  <si>
    <t>f</t>
  </si>
  <si>
    <t>Inflación</t>
  </si>
  <si>
    <t>g</t>
  </si>
  <si>
    <t>Uso anual estimado</t>
  </si>
  <si>
    <t>h</t>
  </si>
  <si>
    <t>Potencia del tractor</t>
  </si>
  <si>
    <t>HP</t>
  </si>
  <si>
    <t>i</t>
  </si>
  <si>
    <t>Consumo de Gas Oil</t>
  </si>
  <si>
    <t>l/h</t>
  </si>
  <si>
    <t>j</t>
  </si>
  <si>
    <t>Precio del Gas Oil sin imp. de 12 Ctvos.</t>
  </si>
  <si>
    <t>$/l</t>
  </si>
  <si>
    <t>k</t>
  </si>
  <si>
    <t>Retribución operario</t>
  </si>
  <si>
    <t>$/mes</t>
  </si>
  <si>
    <t>l</t>
  </si>
  <si>
    <t>Horas de trabajo por mes</t>
  </si>
  <si>
    <t>h/mes</t>
  </si>
  <si>
    <t>m</t>
  </si>
  <si>
    <t>Capacidad de trabajo</t>
  </si>
  <si>
    <t>ha/h</t>
  </si>
  <si>
    <t>A</t>
  </si>
  <si>
    <t>COSTOS FIJOS ESTIMADOS</t>
  </si>
  <si>
    <t>Valor de reventa</t>
  </si>
  <si>
    <t>Amortización (b-1)/d</t>
  </si>
  <si>
    <t>Inversión promedio (b+1)/2</t>
  </si>
  <si>
    <t>Interés 3*(e/100-f/100)/(1+ f/100)</t>
  </si>
  <si>
    <t>Guarda y seguros (a*0,01)</t>
  </si>
  <si>
    <t>$/H</t>
  </si>
  <si>
    <t>Guarda y seguros (a*0,001)</t>
  </si>
  <si>
    <t>Costo fijo anual (2+4+5)</t>
  </si>
  <si>
    <t>B</t>
  </si>
  <si>
    <t>COSTOS VARIABLES ESTIMADOS</t>
  </si>
  <si>
    <t>Total horas acumuladas (d*g+c)</t>
  </si>
  <si>
    <t xml:space="preserve">Coeficiente de mant. Y rep. </t>
  </si>
  <si>
    <t>1/h</t>
  </si>
  <si>
    <t>Gastos de Mant. Y rep. (8*a)</t>
  </si>
  <si>
    <t>Gasto Gas Oil (i*j)</t>
  </si>
  <si>
    <t>Mano de obra (K/l)</t>
  </si>
  <si>
    <t>Costo variable total (9+10+11)</t>
  </si>
  <si>
    <t>Costo fijo en $/h (6/g)</t>
  </si>
  <si>
    <t>Costo total en $/h (12+13)</t>
  </si>
  <si>
    <t xml:space="preserve">Costo del equipo </t>
  </si>
  <si>
    <t>Costo por ha.</t>
  </si>
  <si>
    <t>DOBLE ACCION</t>
  </si>
  <si>
    <t>COEFICIENTES</t>
  </si>
  <si>
    <t>MAQUINARIA</t>
  </si>
  <si>
    <t>TOTAL</t>
  </si>
  <si>
    <t>Aporcador</t>
  </si>
  <si>
    <t>Arado de discos</t>
  </si>
  <si>
    <t>Arado de rejas</t>
  </si>
  <si>
    <t>Cincel</t>
  </si>
  <si>
    <t>Corta hileradora rotativa</t>
  </si>
  <si>
    <t>Cosechadora de Grano fino</t>
  </si>
  <si>
    <t>Cosechadora de maíz</t>
  </si>
  <si>
    <t>Cultivador de campo</t>
  </si>
  <si>
    <t>Desmalezadora de eje horizontal</t>
  </si>
  <si>
    <t>Desmalezadora de eje vertical</t>
  </si>
  <si>
    <t>Enfardadora</t>
  </si>
  <si>
    <t>Escardillo</t>
  </si>
  <si>
    <t>Escarifiocador</t>
  </si>
  <si>
    <t>Fertilizadora al voleo</t>
  </si>
  <si>
    <t>Guadañadora</t>
  </si>
  <si>
    <t>Guadañadora acondicionada</t>
  </si>
  <si>
    <t>Picadora automotriz</t>
  </si>
  <si>
    <t>Picadora de arrastre</t>
  </si>
  <si>
    <t>Pulverizadora autopropulsada</t>
  </si>
  <si>
    <t>Pulverizadora de arrastre</t>
  </si>
  <si>
    <t>Rastra de dientes</t>
  </si>
  <si>
    <t>Rastra de disco doble acción o desencontrada livianas</t>
  </si>
  <si>
    <t>Rastra de disco doble acción o desencontrada pesadas</t>
  </si>
  <si>
    <t>Rastra Excéntrica</t>
  </si>
  <si>
    <t>Rastrillo</t>
  </si>
  <si>
    <t>Rastrón o múltiple</t>
  </si>
  <si>
    <t>Rolo</t>
  </si>
  <si>
    <t>Rotativa</t>
  </si>
  <si>
    <t>Rotoenfardadora</t>
  </si>
  <si>
    <t>Sembradora para grano fino con o sin fertilización</t>
  </si>
  <si>
    <t>Sembradora para grano grueso con o sin fertilización</t>
  </si>
  <si>
    <t>Vibrocultivador</t>
  </si>
  <si>
    <t>Cantidad</t>
  </si>
  <si>
    <t xml:space="preserve">    Semilla  70 Kgr/Has.( incluye resiembra) </t>
  </si>
  <si>
    <t xml:space="preserve">    Herbicida Round up 2lts/ha</t>
  </si>
  <si>
    <t xml:space="preserve">    Insecticida Endolsulfan  (2 Trat.por 0,90 Lt. / Has.)</t>
  </si>
  <si>
    <t xml:space="preserve">    Insecticida Cipermetrina    (1 Trat. por 0,06 Lts / Has.) </t>
  </si>
  <si>
    <t xml:space="preserve">    Inoculante  ( p/80 kgs. Semilla)</t>
  </si>
  <si>
    <t>B)  SUB TOTAL INSUMOS</t>
  </si>
  <si>
    <t>3) GASTOS COSECHA Y FLETES</t>
  </si>
  <si>
    <t>valor por tt</t>
  </si>
  <si>
    <t xml:space="preserve">    Cosecha  mecánica 10% cos.    </t>
  </si>
  <si>
    <t xml:space="preserve">    Flete en bruto-  $/tt</t>
  </si>
  <si>
    <t xml:space="preserve">    Convenio multilateral 1% s/valor de venta</t>
  </si>
  <si>
    <t xml:space="preserve">    TOTAL COSECHA Y COMERCIALIZACION</t>
  </si>
  <si>
    <t xml:space="preserve">    Herbicida ROUND UP 5 LTS/HA.</t>
  </si>
  <si>
    <t xml:space="preserve">    Atrazina 5 lts/ha</t>
  </si>
  <si>
    <t xml:space="preserve">    Semilla  7 Kgr/Has.( incluye resiembra) </t>
  </si>
  <si>
    <t>CULTIVO</t>
  </si>
  <si>
    <t>$/kg ó lt.</t>
  </si>
  <si>
    <t>Precio por tonelada (Rosario)</t>
  </si>
  <si>
    <t>Rendimiento por hectárea en kilogramos</t>
  </si>
  <si>
    <t xml:space="preserve">      SUB TOTAL INSUMOS</t>
  </si>
  <si>
    <t xml:space="preserve">     SUB TOTAL INSUMOS</t>
  </si>
  <si>
    <t xml:space="preserve">    GASTOS COSECHA Y FLETES</t>
  </si>
  <si>
    <t xml:space="preserve">     GASTOS COSECHA Y FLETES</t>
  </si>
  <si>
    <t xml:space="preserve">        INSUMOS</t>
  </si>
  <si>
    <t>TOTAL INSUMOS, COSECHA Y COMERC.</t>
  </si>
  <si>
    <t>DIFERENCIA ENTRE PLANTEOS PRODUCTIVOS EN $</t>
  </si>
  <si>
    <t>DIFERENCIA PORCENTUAL DE AUMENTO DE COSTOS</t>
  </si>
  <si>
    <t>Planteo de un productor individual de 100 hectáreas de campo</t>
  </si>
  <si>
    <t>Planteo de un grupo de productores de 1.500 hectáreas de campo</t>
  </si>
  <si>
    <t>Sorgo</t>
  </si>
  <si>
    <t>Soja  en Directa</t>
  </si>
  <si>
    <t xml:space="preserve">    Herbicida Trifluralinalt 5 lts/ha</t>
  </si>
  <si>
    <t xml:space="preserve">    Semilla  0,4 Kgr/Has.( incluye resiembra) </t>
  </si>
  <si>
    <t xml:space="preserve">    Fertilizante Fosf-Diam-PSI</t>
  </si>
  <si>
    <t xml:space="preserve">    Fertilizante Urea - POE</t>
  </si>
  <si>
    <t xml:space="preserve">    Insecticida Monocrotofos ( Chinches 1 Trat.) </t>
  </si>
  <si>
    <t xml:space="preserve">    Dimetoato 50% (pulgones - Trips) 2 Trat. X 0,4 lts</t>
  </si>
  <si>
    <t xml:space="preserve">    Insecticida Decis (Cap-Lag-Def.) 2 Trat.</t>
  </si>
  <si>
    <t xml:space="preserve">    Humectante - 5 Trat. X 0,1 Lt/ha.</t>
  </si>
  <si>
    <t xml:space="preserve">    Cosecha  mecánica $/ton.    </t>
  </si>
  <si>
    <t xml:space="preserve">                         Retenciones:</t>
  </si>
  <si>
    <t xml:space="preserve">    Asesoramiento 1,5% S/Bruto</t>
  </si>
  <si>
    <t>Algodón</t>
  </si>
  <si>
    <t>Costos Comparados</t>
  </si>
  <si>
    <t xml:space="preserve">    Impuesto sellos (0,1% de Venta+21% IVA)</t>
  </si>
  <si>
    <t>Tabla  de  Equivalentes Arada (Eq.Ar/Ha)</t>
  </si>
  <si>
    <t>COD.</t>
  </si>
  <si>
    <t>Implementos</t>
  </si>
  <si>
    <t>Valor</t>
  </si>
  <si>
    <t>Promedio</t>
  </si>
  <si>
    <t>Arado de  Rejas  ( 1º pasada )</t>
  </si>
  <si>
    <t>Arado de  Rejas  ( 2º pasada )</t>
  </si>
  <si>
    <t>Rastra Exentrica Pesada</t>
  </si>
  <si>
    <t>Disco Doble Acción Descencontrado (Pesado)</t>
  </si>
  <si>
    <t>Disco Doble Acción</t>
  </si>
  <si>
    <t>Disco Doble Acción más Rastra de Dientes</t>
  </si>
  <si>
    <t>Cincel  ( 1º Pasada )</t>
  </si>
  <si>
    <t>Cincel  ( 2º  Pasada )</t>
  </si>
  <si>
    <t>Cincel con Peines  ( 1º Pasada )</t>
  </si>
  <si>
    <t>Cincel con Peines  ( 2º Pasada )</t>
  </si>
  <si>
    <t>Cultivador de Campo</t>
  </si>
  <si>
    <t>Vibrocultador</t>
  </si>
  <si>
    <t>Rastra de Dientes</t>
  </si>
  <si>
    <t>Rastra de Dientes más Rabasto Liviano</t>
  </si>
  <si>
    <t>Rabasto Nivelador Pesado</t>
  </si>
  <si>
    <t>Siembra Gruesa Convencional</t>
  </si>
  <si>
    <t>Siembra Gruesa Conv- más Inoculación</t>
  </si>
  <si>
    <t>Siembra Gruesa - Labranza Cero</t>
  </si>
  <si>
    <t>Rastra Rotativa</t>
  </si>
  <si>
    <t>Siembra Fina</t>
  </si>
  <si>
    <t>Pulverización Terrestre p/Herbicidas y Defoliantes</t>
  </si>
  <si>
    <t>Pulverización Terrestre p/Insecticidas</t>
  </si>
  <si>
    <t>Desmalezadora</t>
  </si>
  <si>
    <t>Rolo Desterronador - Compactador</t>
  </si>
  <si>
    <t xml:space="preserve">Aplicacion Fertilizante al Voleo </t>
  </si>
  <si>
    <t>Trituradora Rastrojos</t>
  </si>
  <si>
    <t>Pulverizacion Herbicidas POED (Tipo Redball)</t>
  </si>
  <si>
    <t>Pulverizacion aérea</t>
  </si>
  <si>
    <t>Aplicacion Fertilizante con avión</t>
  </si>
  <si>
    <t>MARGEN BRUTO ".........................." - PLANILLA de CALCULO</t>
  </si>
  <si>
    <t>CULTIVO:</t>
  </si>
  <si>
    <t>HECTAREAS</t>
  </si>
  <si>
    <t>EPOCA DE SIEMBRA:</t>
  </si>
  <si>
    <t>ÍTEM COMPONENTES</t>
  </si>
  <si>
    <t xml:space="preserve">Precio </t>
  </si>
  <si>
    <t>RINDE/HA</t>
  </si>
  <si>
    <t>KG/HA REALES</t>
  </si>
  <si>
    <t>Unitario</t>
  </si>
  <si>
    <t>PIZARRA   ROSARIO</t>
  </si>
  <si>
    <t xml:space="preserve">1)   INGRESOS BRUTOS   </t>
  </si>
  <si>
    <t>2)   IMPLANTACIÓN Y PROTECCIÓN :</t>
  </si>
  <si>
    <t xml:space="preserve">      VALOR DE LA U.T.A</t>
  </si>
  <si>
    <t>Eq. U.T.A.</t>
  </si>
  <si>
    <t>$/uta a aplicar</t>
  </si>
  <si>
    <t>Valor por Ha</t>
  </si>
  <si>
    <t>A)  SUB TOTAL  LABOREOS :</t>
  </si>
  <si>
    <t>INSUMOS</t>
  </si>
  <si>
    <t>$/kg-lt.</t>
  </si>
  <si>
    <t>$/kg-lt. a aplicar</t>
  </si>
  <si>
    <t>Semilla 7 kgs/ha</t>
  </si>
  <si>
    <t>(A + B)  TOTAL  IMPLANTACION  Y  PROTECCION</t>
  </si>
  <si>
    <t>Valor por tt</t>
  </si>
  <si>
    <t xml:space="preserve">    Impuesto sellos (0,1% por tt + 21% IVA)</t>
  </si>
  <si>
    <t xml:space="preserve">     GASTOS DIRECTOS</t>
  </si>
  <si>
    <t xml:space="preserve">    MARGEN BRUTO</t>
  </si>
  <si>
    <t>PUNTO DE INDIFERENCIA EN KILOS</t>
  </si>
  <si>
    <t>PUNTO DE INDIFERENCIA EN PESOS SEGÚN RENDIMIENTO</t>
  </si>
  <si>
    <t>PLANILLA DE ACTIVIDADES</t>
  </si>
  <si>
    <t xml:space="preserve">    Cosecha  mecánica     </t>
  </si>
  <si>
    <t xml:space="preserve">    Impuesto sellos (0,1% por tt)</t>
  </si>
  <si>
    <t>Cant. Has.:</t>
  </si>
  <si>
    <t>$/Ha:</t>
  </si>
  <si>
    <t>Cant. Vientres:</t>
  </si>
  <si>
    <t>INGRESOS</t>
  </si>
  <si>
    <t>Kg. Promedio</t>
  </si>
  <si>
    <t>$/Kilo</t>
  </si>
  <si>
    <t>$/cabeza</t>
  </si>
  <si>
    <t>$/totales</t>
  </si>
  <si>
    <t>Carga VV/ha</t>
  </si>
  <si>
    <t>Vta de terneros</t>
  </si>
  <si>
    <t>Vta vacas refugo</t>
  </si>
  <si>
    <t>Total Kgs a venta</t>
  </si>
  <si>
    <t>Vta toros descarte</t>
  </si>
  <si>
    <t>Precio promedio</t>
  </si>
  <si>
    <t>TOTAL INGRESOS</t>
  </si>
  <si>
    <t>GASTOS</t>
  </si>
  <si>
    <t>$/MES</t>
  </si>
  <si>
    <t>$/AÑO</t>
  </si>
  <si>
    <t>Indices de producción</t>
  </si>
  <si>
    <t>GASTOS PERSONAL</t>
  </si>
  <si>
    <t>% preñez</t>
  </si>
  <si>
    <t>Sueldos y L. Sociales</t>
  </si>
  <si>
    <t>% parición</t>
  </si>
  <si>
    <t>Veterinario</t>
  </si>
  <si>
    <t>% destete</t>
  </si>
  <si>
    <t xml:space="preserve">          Permanente</t>
  </si>
  <si>
    <t>% mortandad</t>
  </si>
  <si>
    <t xml:space="preserve">          Transitorio (por día)</t>
  </si>
  <si>
    <t>% reposición</t>
  </si>
  <si>
    <t>Otros</t>
  </si>
  <si>
    <t xml:space="preserve">           Administrador</t>
  </si>
  <si>
    <t xml:space="preserve">           Contador</t>
  </si>
  <si>
    <t>Valores variables</t>
  </si>
  <si>
    <t xml:space="preserve">           Gestor</t>
  </si>
  <si>
    <t>Permanente</t>
  </si>
  <si>
    <t>TOTAL GASTOS PERSONAL</t>
  </si>
  <si>
    <t>% ingresos</t>
  </si>
  <si>
    <t>GASTOS PRODUCCIÓN</t>
  </si>
  <si>
    <t>Vida Útil</t>
  </si>
  <si>
    <t>Inversión T.</t>
  </si>
  <si>
    <t>Transitorio</t>
  </si>
  <si>
    <t>$/día</t>
  </si>
  <si>
    <t>Días/Año</t>
  </si>
  <si>
    <t>Praderas</t>
  </si>
  <si>
    <t>Verdeos Verano</t>
  </si>
  <si>
    <t>Suplementación</t>
  </si>
  <si>
    <t>CANTIDAD</t>
  </si>
  <si>
    <t>SUELDO + L.S.</t>
  </si>
  <si>
    <t>TOTAL MES</t>
  </si>
  <si>
    <t>Sanidad</t>
  </si>
  <si>
    <t>Reproducción</t>
  </si>
  <si>
    <t>Reposición</t>
  </si>
  <si>
    <t>Toros</t>
  </si>
  <si>
    <t>Alquiler</t>
  </si>
  <si>
    <t>TOTAL GASTOS PRODUC.</t>
  </si>
  <si>
    <t>Toros a la venta</t>
  </si>
  <si>
    <t>TOTAL GASTOS</t>
  </si>
  <si>
    <t>Precio Promedio de indiferencia</t>
  </si>
  <si>
    <t>MARGEN BRUTO</t>
  </si>
  <si>
    <t>kilos totales de indiferencia</t>
  </si>
  <si>
    <t>Rentabilidad</t>
  </si>
  <si>
    <t>FORMULAS PREESTABLECIDAS, ES CONVENIENTE NO TOCAR ESAS CELDAS</t>
  </si>
  <si>
    <t>ANALISIS DE SENSIBILIDAD</t>
  </si>
  <si>
    <t>Colocaciones a plazo fijo</t>
  </si>
  <si>
    <t>Margen bruto por hectárea</t>
  </si>
  <si>
    <t>Costo de oportunidad</t>
  </si>
  <si>
    <t>Alternativa arrendar campo</t>
  </si>
  <si>
    <t>cabezas</t>
  </si>
  <si>
    <t xml:space="preserve">pesos por cabeza </t>
  </si>
  <si>
    <t>meses</t>
  </si>
  <si>
    <t>Margen bruto  arrendamiento</t>
  </si>
  <si>
    <t>Margen bruto de la actividad</t>
  </si>
  <si>
    <t>Costo de oportunidad total</t>
  </si>
  <si>
    <t>Margen B./ Kg.(1)</t>
  </si>
  <si>
    <t>Costo Op./kg (2)</t>
  </si>
  <si>
    <t>Arrend/kg (3)</t>
  </si>
  <si>
    <t>Dif. (1-2)</t>
  </si>
  <si>
    <t>Dif. (1-3)</t>
  </si>
  <si>
    <t>P.P.(MB.=C.O)</t>
  </si>
  <si>
    <t>P.P.(MB.=A)</t>
  </si>
  <si>
    <t>P.P.(MB=C.O.)</t>
  </si>
  <si>
    <t>Indica el precio promedio al cual el margen bruto se iguala al costo de oportunidad</t>
  </si>
  <si>
    <t>Indica el precio promedio al cual el margen bruto se iguala al ingreso por arrendamiento</t>
  </si>
  <si>
    <t>SANIDAD</t>
  </si>
  <si>
    <t>TOROS</t>
  </si>
  <si>
    <t>análisis</t>
  </si>
  <si>
    <t>vacunación</t>
  </si>
  <si>
    <t>baño</t>
  </si>
  <si>
    <t>inyectable</t>
  </si>
  <si>
    <t>examen</t>
  </si>
  <si>
    <t>totales</t>
  </si>
  <si>
    <t>Tuberculosis</t>
  </si>
  <si>
    <t>brucelosis</t>
  </si>
  <si>
    <t>leucosis</t>
  </si>
  <si>
    <t>vibriosis</t>
  </si>
  <si>
    <t>campylobacteriosis</t>
  </si>
  <si>
    <t>examen clínico</t>
  </si>
  <si>
    <t>DVB</t>
  </si>
  <si>
    <t>IBR</t>
  </si>
  <si>
    <t>leptospirosis</t>
  </si>
  <si>
    <t>carbunclo</t>
  </si>
  <si>
    <t>antiparasitario</t>
  </si>
  <si>
    <t>sarnas y piojos</t>
  </si>
  <si>
    <t>mosca de los cuernos</t>
  </si>
  <si>
    <t>total</t>
  </si>
  <si>
    <t>VIENTRES</t>
  </si>
  <si>
    <t>TERNEROS</t>
  </si>
  <si>
    <t>mancha</t>
  </si>
  <si>
    <t>baños</t>
  </si>
  <si>
    <t>VAQUILLONAS</t>
  </si>
  <si>
    <t>4.2.2.2   RECRIA E INVERNADA</t>
  </si>
  <si>
    <t>Cant. Cabezas</t>
  </si>
  <si>
    <t>Vta de novillos</t>
  </si>
  <si>
    <t>Vta de novillitos</t>
  </si>
  <si>
    <t>Vta. vacas gordas</t>
  </si>
  <si>
    <t>MORTANDAD</t>
  </si>
  <si>
    <t>Vta. vaquillas</t>
  </si>
  <si>
    <t>Total kgs a venta</t>
  </si>
  <si>
    <t>ANMALES PARA VENTA</t>
  </si>
  <si>
    <t>CATEGORIA</t>
  </si>
  <si>
    <t>PESO DE INICIO</t>
  </si>
  <si>
    <t>PESO FINAL</t>
  </si>
  <si>
    <t>T. EN MESES</t>
  </si>
  <si>
    <t>Novillos</t>
  </si>
  <si>
    <t>Novillitos</t>
  </si>
  <si>
    <t>Vacas gordas</t>
  </si>
  <si>
    <t>Compra hacienda</t>
  </si>
  <si>
    <t>Vaquillas</t>
  </si>
  <si>
    <t>PRECIO DE COMPRA POR KG</t>
  </si>
  <si>
    <t>TERNERAS</t>
  </si>
  <si>
    <t>VACAS</t>
  </si>
  <si>
    <t>aumento diario de peso</t>
  </si>
  <si>
    <t>pesos por kilo promedio</t>
  </si>
  <si>
    <t>Capitalización según aumento de peso</t>
  </si>
  <si>
    <t>cabezas a capitalización al</t>
  </si>
  <si>
    <t>del aumento de peso</t>
  </si>
  <si>
    <t>días</t>
  </si>
  <si>
    <t xml:space="preserve">Margen bruto </t>
  </si>
  <si>
    <t>Alternativa de capitalización</t>
  </si>
  <si>
    <t>Indica el precio promedio al cual el margen bruto se iguala al ingreso por capitalización.</t>
  </si>
  <si>
    <t xml:space="preserve">NOVILLOS </t>
  </si>
  <si>
    <t>NOVILLITOS</t>
  </si>
  <si>
    <t>VACAS GORDAS</t>
  </si>
  <si>
    <t>NACIMIENTOS</t>
  </si>
  <si>
    <t>ESTABLECIMIENTO:</t>
  </si>
  <si>
    <t>FECHA</t>
  </si>
  <si>
    <t xml:space="preserve">Nº DE </t>
  </si>
  <si>
    <t>IDENTIFICACION</t>
  </si>
  <si>
    <t>PROCREO</t>
  </si>
  <si>
    <t>PESO EN</t>
  </si>
  <si>
    <t>CARACTERISTICAS</t>
  </si>
  <si>
    <t>PADRE</t>
  </si>
  <si>
    <t>MACHO</t>
  </si>
  <si>
    <t>HEMBRA</t>
  </si>
  <si>
    <t>KGS</t>
  </si>
  <si>
    <t>PARTICULARES</t>
  </si>
  <si>
    <t>CONTROL POR CARAVANA</t>
  </si>
  <si>
    <t>VACAS MUERTAS O VENDIDAS</t>
  </si>
  <si>
    <t>Nº DE CARAVA-NA</t>
  </si>
  <si>
    <t xml:space="preserve"> VENTAS</t>
  </si>
  <si>
    <t>MARCA</t>
  </si>
  <si>
    <t>Nº</t>
  </si>
  <si>
    <t>CAMIONERO</t>
  </si>
  <si>
    <t>CARABANA</t>
  </si>
  <si>
    <t>DESTINO</t>
  </si>
  <si>
    <t>KGS.</t>
  </si>
  <si>
    <t>CAUSAS EST.</t>
  </si>
  <si>
    <t>CERTIFICA-</t>
  </si>
  <si>
    <t>DO</t>
  </si>
  <si>
    <t>VENTA DE HACIENDA</t>
  </si>
  <si>
    <t xml:space="preserve">CANTIDAD DE </t>
  </si>
  <si>
    <t>CATEGO-</t>
  </si>
  <si>
    <t xml:space="preserve">KGS. </t>
  </si>
  <si>
    <t>DIFERENCIA</t>
  </si>
  <si>
    <t xml:space="preserve">INGRESO </t>
  </si>
  <si>
    <t>OBSERVACIONES</t>
  </si>
  <si>
    <t>CABEZAS</t>
  </si>
  <si>
    <t>RIA</t>
  </si>
  <si>
    <t>EN ESTAB.</t>
  </si>
  <si>
    <t>EN DESTINO</t>
  </si>
  <si>
    <t>ORIG.-DESTINO</t>
  </si>
  <si>
    <t>POR KG</t>
  </si>
  <si>
    <t>POR CAT.</t>
  </si>
  <si>
    <t>CONTROLÓ:</t>
  </si>
  <si>
    <t>...................................................................</t>
  </si>
  <si>
    <t>FIRMA Y ACLARACIÓN</t>
  </si>
  <si>
    <t>ESTABLECIMIENTO</t>
  </si>
  <si>
    <t xml:space="preserve">MOVIMIENTO DE HACIENDA   </t>
  </si>
  <si>
    <t xml:space="preserve">AÑO: </t>
  </si>
  <si>
    <t>MES:</t>
  </si>
  <si>
    <t>DETALLE</t>
  </si>
  <si>
    <t>TORITOS</t>
  </si>
  <si>
    <t>VAQ. 2-3</t>
  </si>
  <si>
    <t>VAQ. 1-2</t>
  </si>
  <si>
    <t>NOVILLOS</t>
  </si>
  <si>
    <t xml:space="preserve">                            TERNEROS</t>
  </si>
  <si>
    <t>AL PIE</t>
  </si>
  <si>
    <t>DESTETE</t>
  </si>
  <si>
    <t>MACHOS</t>
  </si>
  <si>
    <t>HEMBRAS</t>
  </si>
  <si>
    <t>EXISTENCIA INICIAL</t>
  </si>
  <si>
    <t>PASES</t>
  </si>
  <si>
    <t>COMPRAS</t>
  </si>
  <si>
    <t>TRASLADOS</t>
  </si>
  <si>
    <t>NACIMIENTO</t>
  </si>
  <si>
    <t>VENTAS</t>
  </si>
  <si>
    <t>MUERTOS</t>
  </si>
  <si>
    <t>TOTAL EGRESOS</t>
  </si>
  <si>
    <t>EXISTENCIA FINAL</t>
  </si>
  <si>
    <t>PIQUETES</t>
  </si>
  <si>
    <t>DESPACHOS</t>
  </si>
  <si>
    <t>CERTIFICADO Nº</t>
  </si>
  <si>
    <t xml:space="preserve"> PATENTE</t>
  </si>
  <si>
    <t>POTRERO</t>
  </si>
  <si>
    <t>IDENTIF. NUMERO</t>
  </si>
  <si>
    <t>EDAD</t>
  </si>
  <si>
    <t>RAZA</t>
  </si>
  <si>
    <t>CANT. TERNEROS</t>
  </si>
  <si>
    <t>PREÑADAS</t>
  </si>
  <si>
    <t>VACIAS</t>
  </si>
  <si>
    <t>CHICA</t>
  </si>
  <si>
    <t>GRANDE</t>
  </si>
  <si>
    <t>CALL</t>
  </si>
  <si>
    <t>Futuro</t>
  </si>
  <si>
    <t>Sin Cubrir</t>
  </si>
  <si>
    <t>Cotización al momento de entrega</t>
  </si>
  <si>
    <t>PUT</t>
  </si>
  <si>
    <t>Precio Final</t>
  </si>
  <si>
    <t>U$S/Ton</t>
  </si>
  <si>
    <t>Prima CALL</t>
  </si>
  <si>
    <t>Prima PUT</t>
  </si>
  <si>
    <t>Precio Ejercicio</t>
  </si>
  <si>
    <t>c. Compra CALL 3/11</t>
  </si>
  <si>
    <t>c. Compra PUT 3/11</t>
  </si>
  <si>
    <t>b. Venta Contrato Futuro 3/11</t>
  </si>
  <si>
    <t>a. Mantenerse sin cobertura</t>
  </si>
  <si>
    <t>"Efecto Techo" de la compra de un CALL</t>
  </si>
  <si>
    <t>"Efecto Piso" de la compra de un PUT</t>
  </si>
  <si>
    <t>PRECIO FINAL DE COMPRA RESULTANTE DE DISTINTAS DECISIONES DE COMERCIALIZACION</t>
  </si>
  <si>
    <t>PRECIO FINAL DE VENTA RESULTANTE DE DISTINTAS DECISIONES DE COMERCIALIZACION</t>
  </si>
  <si>
    <t>IVA</t>
  </si>
  <si>
    <t>DEDUCCIONES</t>
  </si>
  <si>
    <t>GANANCIA NO IMPONIBLE</t>
  </si>
  <si>
    <t>CARGAS DE FAMILIA</t>
  </si>
  <si>
    <t xml:space="preserve">   -Cónyuge</t>
  </si>
  <si>
    <t xml:space="preserve">   -Hijo</t>
  </si>
  <si>
    <t>DEDUCCION ESPECIAL 4ta. C.</t>
  </si>
  <si>
    <t>GASTOS DE SEPELIO</t>
  </si>
  <si>
    <t>PRIMAS DE SEGURO</t>
  </si>
  <si>
    <t>ALICUOTAS</t>
  </si>
  <si>
    <t>GANANCIA NETA IMPONIBLE ACUMULADA</t>
  </si>
  <si>
    <t>PRIMER MODO DE CALCULO</t>
  </si>
  <si>
    <t>CALCULO SIMPLIFICADO</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</si>
</sst>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00"/>
    <numFmt numFmtId="166" formatCode="0.00000"/>
    <numFmt numFmtId="167" formatCode="0.0000"/>
    <numFmt numFmtId="168" formatCode="0.0"/>
    <numFmt numFmtId="169" formatCode="0.0000000"/>
    <numFmt numFmtId="170" formatCode="0.00000000"/>
    <numFmt numFmtId="171" formatCode="0.000000E+00"/>
    <numFmt numFmtId="172" formatCode="0.0000000E+00"/>
    <numFmt numFmtId="173" formatCode="0.00000000E+00"/>
    <numFmt numFmtId="174" formatCode="0.000000000E+00"/>
    <numFmt numFmtId="175" formatCode="0.0000000000E+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_ &quot;$&quot;* #,##0.00_ ;_ &quot;$&quot;* \-#,##0.00_ ;_ &quot;$&quot;* &quot;-&quot;_ ;_ @_ "/>
    <numFmt numFmtId="194" formatCode="&quot;$&quot;#,##0_);\(&quot;$&quot;#,##0\)"/>
    <numFmt numFmtId="195" formatCode="&quot;$&quot;#,##0.00;&quot;$&quot;\-#,##0.00"/>
    <numFmt numFmtId="196" formatCode="_ &quot;$&quot;* #,##0_ ;_ &quot;$&quot;* \-#,##0_ ;_ &quot;$&quot;* &quot;-&quot;??_ ;_ @_ "/>
    <numFmt numFmtId="197" formatCode="#,##0.00_ ;\-#,##0.00\ "/>
    <numFmt numFmtId="198" formatCode="_ &quot;$&quot;* #,##0.00_ ;_ &quot;$&quot;* \-#,##0.00_ ;_ &quot;$&quot;* &quot;-&quot;??_ ;_ @_ "/>
    <numFmt numFmtId="199" formatCode="_-&quot;$&quot;* #,##0.000_-;_-&quot;$&quot;* #,##0.000\-;_-&quot;$&quot;* &quot;-&quot;??_-;_-@_-"/>
    <numFmt numFmtId="200" formatCode="_-* #,##0.00_-;_-* #,##0.00\-;_-* &quot;-&quot;_-;_-@_-"/>
    <numFmt numFmtId="201" formatCode="&quot;$&quot;#,##0;&quot;$&quot;\-#,##0"/>
    <numFmt numFmtId="202" formatCode="&quot;$&quot;#,##0.00_);\(&quot;$&quot;#,##0.00\)"/>
    <numFmt numFmtId="203" formatCode="_-* #,##0.0_-;_-* #,##0.0\-;_-* &quot;-&quot;_-;_-@_-"/>
    <numFmt numFmtId="204" formatCode="_-* #,##0.000_-;_-* #,##0.000\-;_-* &quot;-&quot;??_-;_-@_-"/>
    <numFmt numFmtId="205" formatCode="_-* #,##0.0_-;_-* #,##0.0\-;_-* &quot;-&quot;??_-;_-@_-"/>
    <numFmt numFmtId="206" formatCode="_-* #,##0.000_-;_-* #,##0.000\-;_-* &quot;-&quot;???_-;_-@_-"/>
    <numFmt numFmtId="207" formatCode="0_)"/>
    <numFmt numFmtId="208" formatCode="#,##0.0_);\(#,##0.0\)"/>
    <numFmt numFmtId="209" formatCode="0.00_)"/>
    <numFmt numFmtId="210" formatCode="0.0_)"/>
    <numFmt numFmtId="211" formatCode="General_)"/>
    <numFmt numFmtId="212" formatCode="#,##0.000;[Red]\-#,##0.000"/>
    <numFmt numFmtId="213" formatCode="#,##0.00_-"/>
    <numFmt numFmtId="214" formatCode="_-* #,##0.00_-;_-* #,##0.00\-;_-* &quot;-&quot;???_-;_-@_-"/>
    <numFmt numFmtId="215" formatCode="_-* #,##0.0_-;_-* #,##0.0\-;_-* &quot;-&quot;???_-;_-@_-"/>
    <numFmt numFmtId="216" formatCode="_-* #,##0_-;_-* #,##0\-;_-* &quot;-&quot;???_-;_-@_-"/>
    <numFmt numFmtId="217" formatCode="#,##0.000_-"/>
    <numFmt numFmtId="218" formatCode="0.0%"/>
    <numFmt numFmtId="219" formatCode="0.000%"/>
    <numFmt numFmtId="220" formatCode="&quot;$&quot;#,##0.00_-"/>
    <numFmt numFmtId="221" formatCode="_-* #,##0.0000_-;_-* #,##0.0000\-;_-* &quot;-&quot;??_-;_-@_-"/>
    <numFmt numFmtId="222" formatCode="[$$-2C0A]\ #,##0.00;[$$-2C0A]\ \-#,##0.00"/>
    <numFmt numFmtId="223" formatCode="&quot;Sí&quot;;&quot;Sí&quot;;&quot;No&quot;"/>
    <numFmt numFmtId="224" formatCode="&quot;Verdadero&quot;;&quot;Verdadero&quot;;&quot;Falso&quot;"/>
    <numFmt numFmtId="225" formatCode="&quot;Activado&quot;;&quot;Activado&quot;;&quot;Desactivado&quot;"/>
    <numFmt numFmtId="226" formatCode="[$€-2]\ #,##0.00_);[Red]\([$€-2]\ #,##0.00\)"/>
  </numFmts>
  <fonts count="120">
    <font>
      <sz val="10"/>
      <name val="Arial"/>
      <family val="0"/>
    </font>
    <font>
      <sz val="8"/>
      <name val="Arial"/>
      <family val="0"/>
    </font>
    <font>
      <b/>
      <sz val="12"/>
      <name val="Arial"/>
      <family val="2"/>
    </font>
    <font>
      <sz val="12"/>
      <name val="Times New Roman"/>
      <family val="1"/>
    </font>
    <font>
      <b/>
      <i/>
      <sz val="12"/>
      <name val="Times New Roman"/>
      <family val="1"/>
    </font>
    <font>
      <sz val="10"/>
      <name val="Times New Roman"/>
      <family val="1"/>
    </font>
    <font>
      <i/>
      <sz val="8"/>
      <name val="Times New Roman"/>
      <family val="1"/>
    </font>
    <font>
      <b/>
      <sz val="12"/>
      <name val="Times New Roman"/>
      <family val="1"/>
    </font>
    <font>
      <i/>
      <sz val="12"/>
      <name val="Times New Roman"/>
      <family val="1"/>
    </font>
    <font>
      <b/>
      <sz val="10"/>
      <name val="Arial"/>
      <family val="2"/>
    </font>
    <font>
      <u val="single"/>
      <sz val="10"/>
      <name val="Arial"/>
      <family val="2"/>
    </font>
    <font>
      <b/>
      <i/>
      <u val="single"/>
      <sz val="12"/>
      <name val="Times New Roman"/>
      <family val="1"/>
    </font>
    <font>
      <b/>
      <u val="single"/>
      <sz val="10"/>
      <name val="Times New Roman"/>
      <family val="1"/>
    </font>
    <font>
      <b/>
      <sz val="14"/>
      <name val="Arial"/>
      <family val="2"/>
    </font>
    <font>
      <b/>
      <i/>
      <u val="single"/>
      <sz val="14"/>
      <name val="Times New Roman"/>
      <family val="1"/>
    </font>
    <font>
      <b/>
      <sz val="14"/>
      <name val="Times New Roman"/>
      <family val="1"/>
    </font>
    <font>
      <b/>
      <u val="single"/>
      <sz val="16"/>
      <name val="Times New Roman"/>
      <family val="1"/>
    </font>
    <font>
      <u val="single"/>
      <sz val="16"/>
      <name val="Times New Roman"/>
      <family val="1"/>
    </font>
    <font>
      <b/>
      <sz val="8"/>
      <name val="Times New Roman"/>
      <family val="1"/>
    </font>
    <font>
      <b/>
      <sz val="10"/>
      <name val="Times New Roman"/>
      <family val="1"/>
    </font>
    <font>
      <b/>
      <i/>
      <sz val="10"/>
      <color indexed="12"/>
      <name val="Arial"/>
      <family val="2"/>
    </font>
    <font>
      <b/>
      <sz val="10"/>
      <color indexed="12"/>
      <name val="Arial"/>
      <family val="2"/>
    </font>
    <font>
      <b/>
      <sz val="8"/>
      <name val="Arial"/>
      <family val="2"/>
    </font>
    <font>
      <u val="single"/>
      <sz val="14"/>
      <name val="MS Dialog Light"/>
      <family val="0"/>
    </font>
    <font>
      <sz val="10"/>
      <name val="MS Dialog Light"/>
      <family val="2"/>
    </font>
    <font>
      <u val="single"/>
      <sz val="10"/>
      <name val="MS Dialog Light"/>
      <family val="2"/>
    </font>
    <font>
      <sz val="6"/>
      <name val="Arial"/>
      <family val="2"/>
    </font>
    <font>
      <b/>
      <u val="single"/>
      <sz val="8"/>
      <name val="Arial"/>
      <family val="2"/>
    </font>
    <font>
      <b/>
      <sz val="8"/>
      <color indexed="12"/>
      <name val="Arial"/>
      <family val="2"/>
    </font>
    <font>
      <sz val="8"/>
      <color indexed="16"/>
      <name val="Arial"/>
      <family val="2"/>
    </font>
    <font>
      <b/>
      <sz val="9"/>
      <color indexed="12"/>
      <name val="Arial"/>
      <family val="2"/>
    </font>
    <font>
      <sz val="10"/>
      <color indexed="16"/>
      <name val="Arial"/>
      <family val="2"/>
    </font>
    <font>
      <b/>
      <sz val="8"/>
      <color indexed="16"/>
      <name val="Arial"/>
      <family val="2"/>
    </font>
    <font>
      <b/>
      <i/>
      <sz val="8"/>
      <name val="Arial"/>
      <family val="2"/>
    </font>
    <font>
      <b/>
      <i/>
      <sz val="12"/>
      <name val="Arial"/>
      <family val="2"/>
    </font>
    <font>
      <sz val="12"/>
      <name val="Arial"/>
      <family val="2"/>
    </font>
    <font>
      <b/>
      <sz val="10"/>
      <color indexed="16"/>
      <name val="Arial"/>
      <family val="2"/>
    </font>
    <font>
      <sz val="8"/>
      <color indexed="10"/>
      <name val="Arial"/>
      <family val="2"/>
    </font>
    <font>
      <sz val="10"/>
      <color indexed="10"/>
      <name val="Arial"/>
      <family val="2"/>
    </font>
    <font>
      <b/>
      <sz val="8"/>
      <color indexed="10"/>
      <name val="Arial"/>
      <family val="2"/>
    </font>
    <font>
      <b/>
      <sz val="10"/>
      <color indexed="10"/>
      <name val="Arial"/>
      <family val="2"/>
    </font>
    <font>
      <b/>
      <sz val="16"/>
      <name val="Arial"/>
      <family val="2"/>
    </font>
    <font>
      <b/>
      <sz val="18"/>
      <name val="Times New Roman"/>
      <family val="1"/>
    </font>
    <font>
      <b/>
      <i/>
      <sz val="10"/>
      <name val="Arial"/>
      <family val="2"/>
    </font>
    <font>
      <sz val="10"/>
      <color indexed="9"/>
      <name val="Arial"/>
      <family val="2"/>
    </font>
    <font>
      <sz val="11"/>
      <name val="Arial"/>
      <family val="2"/>
    </font>
    <font>
      <sz val="7"/>
      <name val="Arial"/>
      <family val="2"/>
    </font>
    <font>
      <b/>
      <sz val="11"/>
      <name val="Arial"/>
      <family val="2"/>
    </font>
    <font>
      <i/>
      <sz val="10"/>
      <name val="Arial"/>
      <family val="2"/>
    </font>
    <font>
      <sz val="14"/>
      <name val="Arial"/>
      <family val="2"/>
    </font>
    <font>
      <b/>
      <i/>
      <sz val="16"/>
      <color indexed="10"/>
      <name val="Arial"/>
      <family val="2"/>
    </font>
    <font>
      <b/>
      <u val="single"/>
      <sz val="12"/>
      <name val="Arial"/>
      <family val="2"/>
    </font>
    <font>
      <b/>
      <i/>
      <sz val="10"/>
      <color indexed="16"/>
      <name val="Arial"/>
      <family val="2"/>
    </font>
    <font>
      <b/>
      <sz val="6"/>
      <name val="Arial"/>
      <family val="2"/>
    </font>
    <font>
      <b/>
      <u val="single"/>
      <sz val="8"/>
      <color indexed="12"/>
      <name val="Arial"/>
      <family val="2"/>
    </font>
    <font>
      <b/>
      <sz val="7"/>
      <name val="Arial"/>
      <family val="2"/>
    </font>
    <font>
      <sz val="10"/>
      <color indexed="12"/>
      <name val="Arial"/>
      <family val="2"/>
    </font>
    <font>
      <u val="single"/>
      <sz val="12"/>
      <name val="Helv"/>
      <family val="0"/>
    </font>
    <font>
      <b/>
      <u val="single"/>
      <sz val="12"/>
      <color indexed="12"/>
      <name val="Helv"/>
      <family val="0"/>
    </font>
    <font>
      <b/>
      <u val="single"/>
      <sz val="10"/>
      <name val="Arial"/>
      <family val="2"/>
    </font>
    <font>
      <b/>
      <sz val="9"/>
      <name val="Arial"/>
      <family val="2"/>
    </font>
    <font>
      <b/>
      <sz val="9"/>
      <color indexed="10"/>
      <name val="Arial"/>
      <family val="2"/>
    </font>
    <font>
      <b/>
      <sz val="16"/>
      <name val="Times New Roman"/>
      <family val="1"/>
    </font>
    <font>
      <sz val="8"/>
      <name val="Roman"/>
      <family val="1"/>
    </font>
    <font>
      <b/>
      <sz val="8"/>
      <name val="Footlight MT Light"/>
      <family val="0"/>
    </font>
    <font>
      <b/>
      <sz val="8"/>
      <name val="Roman"/>
      <family val="0"/>
    </font>
    <font>
      <b/>
      <sz val="8"/>
      <name val="Bodoni MT Black"/>
      <family val="1"/>
    </font>
    <font>
      <b/>
      <sz val="12"/>
      <color indexed="41"/>
      <name val="Arial"/>
      <family val="2"/>
    </font>
    <font>
      <sz val="8"/>
      <name val="Verdana"/>
      <family val="2"/>
    </font>
    <font>
      <b/>
      <sz val="8"/>
      <name val="Verdana"/>
      <family val="2"/>
    </font>
    <font>
      <b/>
      <sz val="8"/>
      <color indexed="10"/>
      <name val="Verdana"/>
      <family val="2"/>
    </font>
    <font>
      <sz val="8"/>
      <color indexed="56"/>
      <name val="Times New Roman"/>
      <family val="1"/>
    </font>
    <font>
      <sz val="8"/>
      <name val="Tahoma"/>
      <family val="0"/>
    </font>
    <font>
      <sz val="8"/>
      <color indexed="8"/>
      <name val="Arial"/>
      <family val="0"/>
    </font>
    <font>
      <sz val="7.35"/>
      <color indexed="8"/>
      <name val="Arial"/>
      <family val="0"/>
    </font>
    <font>
      <sz val="10"/>
      <color indexed="8"/>
      <name val="Arial"/>
      <family val="0"/>
    </font>
    <font>
      <sz val="25.25"/>
      <color indexed="8"/>
      <name val="Arial"/>
      <family val="0"/>
    </font>
    <font>
      <sz val="19.75"/>
      <color indexed="8"/>
      <name val="Arial"/>
      <family val="0"/>
    </font>
    <font>
      <sz val="1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75"/>
      <color indexed="8"/>
      <name val="Arial"/>
      <family val="0"/>
    </font>
    <font>
      <b/>
      <sz val="12"/>
      <color indexed="8"/>
      <name val="Arial"/>
      <family val="0"/>
    </font>
    <font>
      <b/>
      <sz val="10"/>
      <color indexed="8"/>
      <name val="Arial"/>
      <family val="0"/>
    </font>
    <font>
      <b/>
      <sz val="8"/>
      <color indexed="8"/>
      <name val="Arial"/>
      <family val="0"/>
    </font>
    <font>
      <b/>
      <sz val="12"/>
      <color indexed="8"/>
      <name val="Times New Roman"/>
      <family val="0"/>
    </font>
    <font>
      <sz val="12"/>
      <color indexed="8"/>
      <name val="Times New Roman"/>
      <family val="0"/>
    </font>
    <font>
      <u val="single"/>
      <sz val="12"/>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16"/>
        <bgColor indexed="64"/>
      </patternFill>
    </fill>
    <fill>
      <patternFill patternType="solid">
        <fgColor indexed="57"/>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color indexed="63"/>
      </left>
      <right style="thin"/>
      <top style="medium"/>
      <bottom style="medium"/>
    </border>
    <border>
      <left style="medium"/>
      <right style="medium"/>
      <top>
        <color indexed="63"/>
      </top>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thin"/>
      <right>
        <color indexed="63"/>
      </right>
      <top>
        <color indexed="63"/>
      </top>
      <bottom>
        <color indexed="63"/>
      </bottom>
    </border>
    <border>
      <left style="double"/>
      <right>
        <color indexed="63"/>
      </right>
      <top style="double"/>
      <bottom style="hair"/>
    </border>
    <border>
      <left>
        <color indexed="63"/>
      </left>
      <right>
        <color indexed="63"/>
      </right>
      <top style="double"/>
      <bottom style="hair"/>
    </border>
    <border>
      <left style="double"/>
      <right>
        <color indexed="63"/>
      </right>
      <top>
        <color indexed="63"/>
      </top>
      <bottom style="hair"/>
    </border>
    <border>
      <left>
        <color indexed="63"/>
      </left>
      <right>
        <color indexed="63"/>
      </right>
      <top>
        <color indexed="63"/>
      </top>
      <bottom style="hair"/>
    </border>
    <border>
      <left style="thick"/>
      <right style="thick"/>
      <top>
        <color indexed="63"/>
      </top>
      <bottom>
        <color indexed="63"/>
      </bottom>
    </border>
    <border>
      <left>
        <color indexed="63"/>
      </left>
      <right>
        <color indexed="63"/>
      </right>
      <top style="double"/>
      <bottom>
        <color indexed="63"/>
      </bottom>
    </border>
    <border>
      <left style="hair"/>
      <right style="hair"/>
      <top>
        <color indexed="63"/>
      </top>
      <bottom>
        <color indexed="63"/>
      </bottom>
    </border>
    <border>
      <left style="thick"/>
      <right style="medium"/>
      <top style="medium"/>
      <bottom>
        <color indexed="63"/>
      </bottom>
    </border>
    <border>
      <left style="thin"/>
      <right style="thin"/>
      <top style="medium"/>
      <bottom>
        <color indexed="63"/>
      </botto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thin"/>
      <top style="medium"/>
      <bottom>
        <color indexed="63"/>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style="thick"/>
      <bottom style="medium"/>
    </border>
    <border>
      <left>
        <color indexed="63"/>
      </left>
      <right style="thick"/>
      <top style="thick"/>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5" fillId="20" borderId="0" applyNumberFormat="0" applyBorder="0" applyAlignment="0" applyProtection="0"/>
    <xf numFmtId="0" fontId="106" fillId="21" borderId="1" applyNumberFormat="0" applyAlignment="0" applyProtection="0"/>
    <xf numFmtId="0" fontId="107" fillId="22" borderId="2" applyNumberFormat="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0" applyNumberFormat="0" applyFill="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104" fillId="27" borderId="0" applyNumberFormat="0" applyBorder="0" applyAlignment="0" applyProtection="0"/>
    <xf numFmtId="0" fontId="104" fillId="28" borderId="0" applyNumberFormat="0" applyBorder="0" applyAlignment="0" applyProtection="0"/>
    <xf numFmtId="0" fontId="111" fillId="29" borderId="1" applyNumberFormat="0" applyAlignment="0" applyProtection="0"/>
    <xf numFmtId="0" fontId="11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31" borderId="0" applyNumberFormat="0" applyBorder="0" applyAlignment="0" applyProtection="0"/>
    <xf numFmtId="0" fontId="0" fillId="0" borderId="0" applyAlignment="0">
      <protection/>
    </xf>
    <xf numFmtId="0" fontId="0" fillId="32" borderId="5" applyNumberFormat="0" applyFont="0" applyAlignment="0" applyProtection="0"/>
    <xf numFmtId="9" fontId="0" fillId="0" borderId="0" applyFont="0" applyFill="0" applyBorder="0" applyAlignment="0" applyProtection="0"/>
    <xf numFmtId="0" fontId="114" fillId="21" borderId="6"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7" applyNumberFormat="0" applyFill="0" applyAlignment="0" applyProtection="0"/>
    <xf numFmtId="0" fontId="110" fillId="0" borderId="8" applyNumberFormat="0" applyFill="0" applyAlignment="0" applyProtection="0"/>
    <xf numFmtId="0" fontId="119" fillId="0" borderId="9" applyNumberFormat="0" applyFill="0" applyAlignment="0" applyProtection="0"/>
  </cellStyleXfs>
  <cellXfs count="1262">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3" fontId="3" fillId="0" borderId="0" xfId="0" applyNumberFormat="1" applyFont="1" applyAlignment="1">
      <alignment/>
    </xf>
    <xf numFmtId="0" fontId="5" fillId="0" borderId="0" xfId="0" applyFont="1" applyAlignment="1">
      <alignment horizontal="center"/>
    </xf>
    <xf numFmtId="0" fontId="3" fillId="0" borderId="0" xfId="0" applyFont="1" applyAlignment="1">
      <alignment horizontal="right"/>
    </xf>
    <xf numFmtId="9" fontId="3" fillId="0" borderId="0" xfId="0" applyNumberFormat="1" applyFont="1" applyAlignment="1">
      <alignment/>
    </xf>
    <xf numFmtId="0" fontId="7"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3" fontId="3" fillId="0" borderId="0" xfId="0" applyNumberFormat="1" applyFont="1" applyAlignment="1">
      <alignment horizontal="center"/>
    </xf>
    <xf numFmtId="2" fontId="3" fillId="0" borderId="0" xfId="0" applyNumberFormat="1" applyFont="1" applyAlignment="1">
      <alignment/>
    </xf>
    <xf numFmtId="164" fontId="3"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xf>
    <xf numFmtId="0" fontId="5" fillId="0" borderId="10" xfId="0" applyFont="1" applyBorder="1" applyAlignment="1">
      <alignment horizontal="center"/>
    </xf>
    <xf numFmtId="2" fontId="3" fillId="0" borderId="0" xfId="0" applyNumberFormat="1" applyFont="1" applyBorder="1" applyAlignment="1">
      <alignment/>
    </xf>
    <xf numFmtId="164" fontId="3" fillId="0" borderId="0" xfId="0" applyNumberFormat="1" applyFont="1" applyFill="1" applyAlignment="1">
      <alignment/>
    </xf>
    <xf numFmtId="0" fontId="2" fillId="0" borderId="0" xfId="0" applyFont="1" applyAlignment="1">
      <alignment/>
    </xf>
    <xf numFmtId="9" fontId="0" fillId="0" borderId="0" xfId="0" applyNumberFormat="1" applyAlignment="1">
      <alignment/>
    </xf>
    <xf numFmtId="0" fontId="10" fillId="0" borderId="0" xfId="0" applyFont="1" applyAlignment="1">
      <alignment/>
    </xf>
    <xf numFmtId="0" fontId="0" fillId="0" borderId="0" xfId="0" applyAlignment="1">
      <alignment horizontal="center"/>
    </xf>
    <xf numFmtId="0" fontId="9" fillId="0" borderId="0" xfId="0" applyFont="1" applyAlignment="1">
      <alignment horizontal="center" vertical="center" wrapText="1"/>
    </xf>
    <xf numFmtId="0" fontId="10" fillId="0" borderId="0" xfId="0" applyFont="1" applyAlignment="1">
      <alignment horizontal="center"/>
    </xf>
    <xf numFmtId="0" fontId="9" fillId="0" borderId="0" xfId="0" applyFont="1" applyAlignment="1">
      <alignment/>
    </xf>
    <xf numFmtId="3" fontId="0" fillId="0" borderId="0" xfId="0" applyNumberFormat="1" applyAlignment="1">
      <alignment/>
    </xf>
    <xf numFmtId="9" fontId="0" fillId="0" borderId="0" xfId="0" applyNumberFormat="1" applyAlignment="1">
      <alignment horizontal="center"/>
    </xf>
    <xf numFmtId="2" fontId="9" fillId="0" borderId="11" xfId="0" applyNumberFormat="1" applyFont="1" applyBorder="1" applyAlignment="1">
      <alignment/>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xf>
    <xf numFmtId="2" fontId="0" fillId="0" borderId="13" xfId="0" applyNumberFormat="1" applyBorder="1" applyAlignment="1">
      <alignment/>
    </xf>
    <xf numFmtId="0" fontId="0" fillId="0" borderId="14" xfId="0" applyBorder="1" applyAlignment="1">
      <alignment/>
    </xf>
    <xf numFmtId="2" fontId="0" fillId="0" borderId="14" xfId="0" applyNumberFormat="1" applyBorder="1" applyAlignment="1">
      <alignment/>
    </xf>
    <xf numFmtId="2" fontId="0" fillId="0" borderId="15" xfId="0" applyNumberFormat="1" applyBorder="1" applyAlignment="1">
      <alignment/>
    </xf>
    <xf numFmtId="0" fontId="9" fillId="0" borderId="16" xfId="0" applyFont="1" applyBorder="1" applyAlignment="1">
      <alignment/>
    </xf>
    <xf numFmtId="2" fontId="0" fillId="0" borderId="17" xfId="0" applyNumberFormat="1" applyBorder="1" applyAlignment="1">
      <alignment/>
    </xf>
    <xf numFmtId="0" fontId="9" fillId="0" borderId="16" xfId="0" applyFont="1" applyBorder="1" applyAlignment="1">
      <alignment horizontal="center"/>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3" fontId="3" fillId="0" borderId="23" xfId="0" applyNumberFormat="1"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3" fillId="0" borderId="0" xfId="0" applyFont="1" applyBorder="1" applyAlignment="1">
      <alignment/>
    </xf>
    <xf numFmtId="0" fontId="3" fillId="0" borderId="23" xfId="0" applyFont="1" applyBorder="1" applyAlignment="1">
      <alignment/>
    </xf>
    <xf numFmtId="0" fontId="3" fillId="0" borderId="23" xfId="0" applyFont="1" applyBorder="1" applyAlignment="1">
      <alignment horizontal="center"/>
    </xf>
    <xf numFmtId="3" fontId="3" fillId="0" borderId="0" xfId="0" applyNumberFormat="1" applyFont="1" applyBorder="1" applyAlignment="1">
      <alignment/>
    </xf>
    <xf numFmtId="3" fontId="3" fillId="0" borderId="20" xfId="0" applyNumberFormat="1" applyFont="1" applyBorder="1" applyAlignment="1">
      <alignment/>
    </xf>
    <xf numFmtId="0" fontId="11" fillId="0" borderId="0" xfId="0" applyFont="1" applyAlignment="1">
      <alignment/>
    </xf>
    <xf numFmtId="0" fontId="3" fillId="0" borderId="12" xfId="0" applyFont="1" applyBorder="1" applyAlignment="1">
      <alignment/>
    </xf>
    <xf numFmtId="9" fontId="3" fillId="0" borderId="24" xfId="0" applyNumberFormat="1" applyFont="1" applyBorder="1" applyAlignment="1">
      <alignment/>
    </xf>
    <xf numFmtId="9" fontId="3" fillId="0" borderId="20" xfId="0" applyNumberFormat="1" applyFont="1" applyBorder="1" applyAlignment="1">
      <alignment/>
    </xf>
    <xf numFmtId="0" fontId="0" fillId="0" borderId="26" xfId="0" applyBorder="1" applyAlignment="1">
      <alignment horizontal="center" vertical="center" wrapText="1"/>
    </xf>
    <xf numFmtId="0" fontId="9" fillId="0" borderId="0" xfId="0" applyFont="1" applyAlignment="1">
      <alignment horizontal="center"/>
    </xf>
    <xf numFmtId="0" fontId="0" fillId="0" borderId="27" xfId="0" applyBorder="1" applyAlignment="1">
      <alignment/>
    </xf>
    <xf numFmtId="0" fontId="0" fillId="0" borderId="28" xfId="0" applyBorder="1" applyAlignment="1">
      <alignment/>
    </xf>
    <xf numFmtId="0" fontId="0" fillId="0" borderId="26" xfId="0" applyBorder="1" applyAlignment="1">
      <alignment/>
    </xf>
    <xf numFmtId="0" fontId="12" fillId="0" borderId="0" xfId="0" applyFont="1" applyAlignment="1">
      <alignment/>
    </xf>
    <xf numFmtId="0" fontId="3" fillId="33" borderId="0" xfId="0" applyFont="1" applyFill="1" applyAlignment="1">
      <alignment/>
    </xf>
    <xf numFmtId="0" fontId="0" fillId="0" borderId="0" xfId="0" applyAlignment="1">
      <alignment horizontal="center" vertical="center" wrapText="1"/>
    </xf>
    <xf numFmtId="0" fontId="13" fillId="0" borderId="0" xfId="0" applyFont="1" applyAlignment="1">
      <alignment horizontal="center"/>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14" xfId="0" applyFont="1" applyFill="1" applyBorder="1" applyAlignment="1">
      <alignment horizontal="center"/>
    </xf>
    <xf numFmtId="4" fontId="3" fillId="0" borderId="14" xfId="0" applyNumberFormat="1" applyFont="1" applyFill="1" applyBorder="1" applyAlignment="1">
      <alignment/>
    </xf>
    <xf numFmtId="0" fontId="5" fillId="0" borderId="14" xfId="0" applyFont="1" applyFill="1" applyBorder="1" applyAlignment="1">
      <alignment horizontal="center"/>
    </xf>
    <xf numFmtId="4" fontId="3" fillId="0" borderId="14" xfId="0"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Alignment="1">
      <alignment horizontal="right"/>
    </xf>
    <xf numFmtId="0" fontId="6" fillId="0" borderId="0" xfId="0" applyFont="1" applyFill="1" applyAlignment="1">
      <alignment/>
    </xf>
    <xf numFmtId="0" fontId="4"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xf>
    <xf numFmtId="0" fontId="7" fillId="0" borderId="18" xfId="0" applyFont="1" applyFill="1" applyBorder="1" applyAlignment="1">
      <alignment/>
    </xf>
    <xf numFmtId="0" fontId="3" fillId="0" borderId="20" xfId="0" applyFont="1" applyFill="1" applyBorder="1" applyAlignment="1">
      <alignment/>
    </xf>
    <xf numFmtId="0" fontId="7" fillId="0" borderId="0" xfId="0" applyFont="1" applyFill="1" applyAlignment="1">
      <alignment/>
    </xf>
    <xf numFmtId="0" fontId="3" fillId="0" borderId="32" xfId="0" applyFont="1" applyFill="1" applyBorder="1" applyAlignment="1">
      <alignment/>
    </xf>
    <xf numFmtId="0" fontId="3" fillId="0" borderId="10" xfId="0" applyFont="1" applyFill="1" applyBorder="1" applyAlignment="1">
      <alignment/>
    </xf>
    <xf numFmtId="0" fontId="3" fillId="0" borderId="33" xfId="0" applyFont="1" applyFill="1" applyBorder="1" applyAlignment="1">
      <alignment/>
    </xf>
    <xf numFmtId="0" fontId="3" fillId="0" borderId="13" xfId="0" applyFont="1" applyFill="1" applyBorder="1" applyAlignment="1">
      <alignment horizontal="center"/>
    </xf>
    <xf numFmtId="4" fontId="3" fillId="0" borderId="13" xfId="0" applyNumberFormat="1" applyFont="1" applyFill="1" applyBorder="1" applyAlignment="1">
      <alignment/>
    </xf>
    <xf numFmtId="0" fontId="7" fillId="0" borderId="34" xfId="0" applyFont="1" applyFill="1" applyBorder="1" applyAlignment="1">
      <alignment horizontal="center"/>
    </xf>
    <xf numFmtId="0" fontId="7" fillId="0" borderId="35" xfId="0" applyFont="1" applyFill="1" applyBorder="1" applyAlignment="1">
      <alignment horizontal="center"/>
    </xf>
    <xf numFmtId="0" fontId="4" fillId="0" borderId="18" xfId="0" applyFont="1" applyFill="1" applyBorder="1" applyAlignment="1">
      <alignment/>
    </xf>
    <xf numFmtId="9" fontId="3" fillId="0" borderId="20" xfId="0" applyNumberFormat="1" applyFont="1" applyFill="1" applyBorder="1" applyAlignment="1">
      <alignment/>
    </xf>
    <xf numFmtId="0" fontId="7"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0" fontId="3" fillId="0" borderId="12" xfId="0" applyFont="1" applyBorder="1" applyAlignment="1">
      <alignment horizontal="center"/>
    </xf>
    <xf numFmtId="2" fontId="3" fillId="0" borderId="12" xfId="0" applyNumberFormat="1" applyFont="1" applyBorder="1" applyAlignment="1">
      <alignment horizontal="center"/>
    </xf>
    <xf numFmtId="0" fontId="3" fillId="34" borderId="18" xfId="0" applyFont="1" applyFill="1" applyBorder="1" applyAlignment="1">
      <alignment/>
    </xf>
    <xf numFmtId="0" fontId="3" fillId="34" borderId="19" xfId="0" applyFont="1" applyFill="1" applyBorder="1" applyAlignment="1">
      <alignment/>
    </xf>
    <xf numFmtId="2" fontId="3" fillId="34" borderId="18" xfId="0" applyNumberFormat="1" applyFont="1" applyFill="1" applyBorder="1" applyAlignment="1">
      <alignment/>
    </xf>
    <xf numFmtId="2" fontId="3" fillId="34" borderId="20" xfId="0" applyNumberFormat="1" applyFont="1" applyFill="1" applyBorder="1" applyAlignment="1">
      <alignment/>
    </xf>
    <xf numFmtId="2" fontId="3" fillId="0" borderId="12" xfId="0" applyNumberFormat="1" applyFont="1" applyBorder="1" applyAlignment="1">
      <alignment/>
    </xf>
    <xf numFmtId="2" fontId="3" fillId="34" borderId="11" xfId="0" applyNumberFormat="1" applyFont="1" applyFill="1" applyBorder="1" applyAlignment="1">
      <alignment/>
    </xf>
    <xf numFmtId="0" fontId="3" fillId="0" borderId="22" xfId="0" applyFont="1" applyBorder="1" applyAlignment="1">
      <alignment horizontal="center"/>
    </xf>
    <xf numFmtId="0" fontId="3" fillId="0" borderId="25" xfId="0" applyFont="1" applyBorder="1" applyAlignment="1">
      <alignment horizontal="center"/>
    </xf>
    <xf numFmtId="0" fontId="3" fillId="34" borderId="11" xfId="0" applyFont="1" applyFill="1" applyBorder="1" applyAlignment="1">
      <alignment/>
    </xf>
    <xf numFmtId="9" fontId="3" fillId="34" borderId="0" xfId="0" applyNumberFormat="1" applyFont="1" applyFill="1" applyAlignment="1">
      <alignment/>
    </xf>
    <xf numFmtId="2" fontId="3" fillId="34" borderId="23" xfId="0" applyNumberFormat="1" applyFont="1" applyFill="1" applyBorder="1" applyAlignment="1">
      <alignment/>
    </xf>
    <xf numFmtId="0" fontId="3" fillId="34" borderId="26" xfId="0" applyFont="1" applyFill="1" applyBorder="1" applyAlignment="1">
      <alignment/>
    </xf>
    <xf numFmtId="0" fontId="5" fillId="0" borderId="0" xfId="0" applyFont="1" applyBorder="1" applyAlignment="1">
      <alignment horizontal="center"/>
    </xf>
    <xf numFmtId="0" fontId="5" fillId="0" borderId="12" xfId="0" applyFont="1" applyBorder="1" applyAlignment="1">
      <alignment horizontal="center"/>
    </xf>
    <xf numFmtId="0" fontId="5" fillId="0" borderId="23" xfId="0" applyFont="1" applyBorder="1" applyAlignment="1">
      <alignment horizontal="center"/>
    </xf>
    <xf numFmtId="0" fontId="0" fillId="35" borderId="11" xfId="0" applyFill="1" applyBorder="1" applyAlignment="1">
      <alignment horizontal="center"/>
    </xf>
    <xf numFmtId="0" fontId="0" fillId="35" borderId="25" xfId="0" applyFill="1" applyBorder="1" applyAlignment="1">
      <alignment horizontal="center"/>
    </xf>
    <xf numFmtId="0" fontId="9" fillId="36" borderId="16" xfId="0" applyFont="1" applyFill="1" applyBorder="1" applyAlignment="1">
      <alignment/>
    </xf>
    <xf numFmtId="2" fontId="9" fillId="36" borderId="34" xfId="0" applyNumberFormat="1" applyFont="1" applyFill="1" applyBorder="1" applyAlignment="1">
      <alignment/>
    </xf>
    <xf numFmtId="2" fontId="9" fillId="36" borderId="35" xfId="0" applyNumberFormat="1" applyFont="1" applyFill="1" applyBorder="1" applyAlignment="1">
      <alignment/>
    </xf>
    <xf numFmtId="0" fontId="0" fillId="0" borderId="36" xfId="0" applyBorder="1" applyAlignment="1">
      <alignment/>
    </xf>
    <xf numFmtId="2" fontId="0" fillId="0" borderId="37" xfId="0" applyNumberFormat="1" applyBorder="1" applyAlignment="1">
      <alignment/>
    </xf>
    <xf numFmtId="0" fontId="0" fillId="0" borderId="38" xfId="0" applyBorder="1" applyAlignment="1">
      <alignment/>
    </xf>
    <xf numFmtId="2" fontId="0" fillId="0" borderId="39" xfId="0" applyNumberFormat="1" applyBorder="1" applyAlignment="1">
      <alignment/>
    </xf>
    <xf numFmtId="0" fontId="0" fillId="0" borderId="40" xfId="0" applyBorder="1" applyAlignment="1">
      <alignment/>
    </xf>
    <xf numFmtId="2" fontId="0" fillId="0" borderId="41" xfId="0" applyNumberFormat="1" applyBorder="1" applyAlignment="1">
      <alignment/>
    </xf>
    <xf numFmtId="0" fontId="0" fillId="0" borderId="42" xfId="0" applyBorder="1" applyAlignment="1">
      <alignment/>
    </xf>
    <xf numFmtId="2" fontId="0" fillId="0" borderId="43" xfId="0" applyNumberFormat="1" applyBorder="1" applyAlignment="1">
      <alignment/>
    </xf>
    <xf numFmtId="0" fontId="9" fillId="0" borderId="34" xfId="0" applyFont="1" applyBorder="1" applyAlignment="1">
      <alignment horizontal="center"/>
    </xf>
    <xf numFmtId="0" fontId="9" fillId="37" borderId="44" xfId="0" applyFont="1" applyFill="1" applyBorder="1" applyAlignment="1">
      <alignment horizontal="center"/>
    </xf>
    <xf numFmtId="0" fontId="9" fillId="0" borderId="35" xfId="0" applyFont="1" applyBorder="1" applyAlignment="1">
      <alignment horizontal="center"/>
    </xf>
    <xf numFmtId="0" fontId="0" fillId="0" borderId="13" xfId="0" applyBorder="1" applyAlignment="1">
      <alignment horizontal="center"/>
    </xf>
    <xf numFmtId="2" fontId="0" fillId="37" borderId="13" xfId="0" applyNumberFormat="1" applyFill="1" applyBorder="1" applyAlignment="1">
      <alignment/>
    </xf>
    <xf numFmtId="0" fontId="0" fillId="0" borderId="14" xfId="0" applyBorder="1" applyAlignment="1">
      <alignment horizontal="center"/>
    </xf>
    <xf numFmtId="2" fontId="0" fillId="37" borderId="14" xfId="0" applyNumberFormat="1" applyFill="1" applyBorder="1" applyAlignment="1">
      <alignment/>
    </xf>
    <xf numFmtId="0" fontId="0" fillId="37" borderId="14" xfId="0" applyFill="1" applyBorder="1" applyAlignment="1">
      <alignment/>
    </xf>
    <xf numFmtId="0" fontId="9" fillId="37" borderId="14" xfId="0" applyFont="1" applyFill="1" applyBorder="1" applyAlignment="1">
      <alignment horizontal="center"/>
    </xf>
    <xf numFmtId="0" fontId="9" fillId="37" borderId="14" xfId="0" applyFont="1" applyFill="1" applyBorder="1" applyAlignment="1">
      <alignment/>
    </xf>
    <xf numFmtId="2" fontId="9" fillId="37" borderId="14" xfId="0" applyNumberFormat="1" applyFont="1" applyFill="1" applyBorder="1" applyAlignment="1">
      <alignment/>
    </xf>
    <xf numFmtId="0" fontId="1" fillId="0" borderId="12" xfId="0" applyFont="1" applyBorder="1" applyAlignment="1">
      <alignment/>
    </xf>
    <xf numFmtId="0" fontId="1" fillId="0" borderId="45" xfId="0" applyFont="1" applyBorder="1" applyAlignment="1">
      <alignment/>
    </xf>
    <xf numFmtId="2" fontId="1" fillId="0" borderId="46" xfId="0" applyNumberFormat="1" applyFont="1" applyBorder="1" applyAlignment="1">
      <alignment/>
    </xf>
    <xf numFmtId="0" fontId="1" fillId="0" borderId="47" xfId="0" applyFont="1" applyBorder="1" applyAlignment="1">
      <alignment/>
    </xf>
    <xf numFmtId="2" fontId="1" fillId="0" borderId="48" xfId="0" applyNumberFormat="1" applyFont="1" applyBorder="1" applyAlignment="1">
      <alignment/>
    </xf>
    <xf numFmtId="0" fontId="1" fillId="0" borderId="29" xfId="0" applyFont="1" applyBorder="1" applyAlignment="1">
      <alignment/>
    </xf>
    <xf numFmtId="2" fontId="1" fillId="0" borderId="49" xfId="0" applyNumberFormat="1" applyFont="1" applyBorder="1" applyAlignment="1">
      <alignment/>
    </xf>
    <xf numFmtId="0" fontId="1" fillId="0" borderId="30" xfId="0" applyFont="1" applyBorder="1" applyAlignment="1">
      <alignment/>
    </xf>
    <xf numFmtId="2" fontId="1" fillId="0" borderId="50" xfId="0" applyNumberFormat="1" applyFont="1" applyBorder="1" applyAlignment="1">
      <alignment/>
    </xf>
    <xf numFmtId="2" fontId="1" fillId="0" borderId="30" xfId="0" applyNumberFormat="1" applyFont="1" applyBorder="1" applyAlignment="1">
      <alignment/>
    </xf>
    <xf numFmtId="0" fontId="0" fillId="0" borderId="30" xfId="0" applyBorder="1" applyAlignment="1">
      <alignment/>
    </xf>
    <xf numFmtId="0" fontId="1" fillId="0" borderId="51" xfId="0" applyFont="1" applyBorder="1" applyAlignment="1">
      <alignment/>
    </xf>
    <xf numFmtId="2" fontId="1" fillId="0" borderId="26" xfId="0" applyNumberFormat="1" applyFont="1" applyBorder="1" applyAlignment="1">
      <alignment/>
    </xf>
    <xf numFmtId="2" fontId="1" fillId="0" borderId="24" xfId="0" applyNumberFormat="1" applyFont="1" applyBorder="1" applyAlignment="1">
      <alignment/>
    </xf>
    <xf numFmtId="2" fontId="1" fillId="0" borderId="52" xfId="0" applyNumberFormat="1" applyFont="1" applyBorder="1" applyAlignment="1">
      <alignment/>
    </xf>
    <xf numFmtId="0" fontId="1" fillId="0" borderId="53" xfId="0" applyFont="1" applyBorder="1" applyAlignment="1">
      <alignment/>
    </xf>
    <xf numFmtId="2" fontId="1" fillId="0" borderId="54" xfId="0" applyNumberFormat="1" applyFont="1" applyBorder="1" applyAlignment="1">
      <alignment/>
    </xf>
    <xf numFmtId="0" fontId="1" fillId="0" borderId="13" xfId="0" applyFont="1" applyBorder="1" applyAlignment="1">
      <alignment/>
    </xf>
    <xf numFmtId="0" fontId="1" fillId="0" borderId="14" xfId="0" applyFont="1" applyBorder="1" applyAlignment="1">
      <alignment/>
    </xf>
    <xf numFmtId="0" fontId="20" fillId="0" borderId="0" xfId="0" applyFont="1" applyAlignment="1">
      <alignment/>
    </xf>
    <xf numFmtId="0" fontId="0" fillId="0" borderId="0" xfId="0" applyFont="1" applyAlignment="1">
      <alignment/>
    </xf>
    <xf numFmtId="0" fontId="21" fillId="0" borderId="0" xfId="0" applyFont="1" applyAlignment="1">
      <alignment/>
    </xf>
    <xf numFmtId="0" fontId="22" fillId="0" borderId="14" xfId="0" applyFont="1" applyBorder="1" applyAlignment="1">
      <alignment/>
    </xf>
    <xf numFmtId="0" fontId="22" fillId="0" borderId="14" xfId="0" applyFont="1" applyBorder="1" applyAlignment="1">
      <alignment horizontal="center"/>
    </xf>
    <xf numFmtId="0" fontId="1" fillId="0" borderId="0" xfId="0" applyFont="1" applyAlignment="1">
      <alignment/>
    </xf>
    <xf numFmtId="0" fontId="1" fillId="0" borderId="14" xfId="52" applyFont="1" applyBorder="1" applyAlignment="1">
      <alignment/>
      <protection/>
    </xf>
    <xf numFmtId="0" fontId="1" fillId="0" borderId="14" xfId="52" applyFont="1" applyBorder="1" applyAlignment="1">
      <alignment horizontal="center"/>
      <protection/>
    </xf>
    <xf numFmtId="193" fontId="1" fillId="0" borderId="14" xfId="50" applyNumberFormat="1" applyFont="1" applyBorder="1" applyAlignment="1">
      <alignment horizontal="center"/>
    </xf>
    <xf numFmtId="192" fontId="1" fillId="0" borderId="14" xfId="0" applyNumberFormat="1" applyFont="1" applyBorder="1" applyAlignment="1">
      <alignment/>
    </xf>
    <xf numFmtId="0" fontId="22" fillId="0" borderId="14" xfId="52" applyFont="1" applyBorder="1" applyAlignment="1">
      <alignment/>
      <protection/>
    </xf>
    <xf numFmtId="44" fontId="1" fillId="0" borderId="14" xfId="49" applyFont="1" applyBorder="1" applyAlignment="1">
      <alignment/>
    </xf>
    <xf numFmtId="192" fontId="22" fillId="0" borderId="14" xfId="0" applyNumberFormat="1" applyFont="1" applyBorder="1" applyAlignment="1">
      <alignment/>
    </xf>
    <xf numFmtId="0" fontId="22" fillId="0" borderId="15" xfId="52" applyFont="1" applyBorder="1" applyAlignment="1">
      <alignment/>
      <protection/>
    </xf>
    <xf numFmtId="0" fontId="22" fillId="0" borderId="0" xfId="52" applyFont="1" applyBorder="1" applyAlignment="1">
      <alignment/>
      <protection/>
    </xf>
    <xf numFmtId="44" fontId="1" fillId="0" borderId="0" xfId="49" applyFont="1" applyBorder="1" applyAlignment="1">
      <alignment/>
    </xf>
    <xf numFmtId="164" fontId="1" fillId="0" borderId="14" xfId="52" applyNumberFormat="1" applyFont="1" applyBorder="1" applyAlignment="1">
      <alignment horizontal="right"/>
      <protection/>
    </xf>
    <xf numFmtId="204" fontId="1" fillId="0" borderId="14" xfId="0" applyNumberFormat="1" applyFont="1" applyBorder="1" applyAlignment="1">
      <alignment/>
    </xf>
    <xf numFmtId="0" fontId="1" fillId="0" borderId="14" xfId="52" applyFont="1" applyBorder="1" applyAlignment="1">
      <alignment horizontal="left"/>
      <protection/>
    </xf>
    <xf numFmtId="164" fontId="1" fillId="0" borderId="14" xfId="0" applyNumberFormat="1" applyFont="1" applyBorder="1" applyAlignment="1">
      <alignment horizontal="right"/>
    </xf>
    <xf numFmtId="0" fontId="22" fillId="0" borderId="14" xfId="52" applyFont="1" applyBorder="1" applyAlignment="1">
      <alignment horizontal="center"/>
      <protection/>
    </xf>
    <xf numFmtId="0" fontId="9" fillId="0" borderId="18" xfId="0" applyFont="1" applyBorder="1" applyAlignment="1">
      <alignment/>
    </xf>
    <xf numFmtId="0" fontId="0" fillId="0" borderId="20" xfId="0" applyBorder="1" applyAlignment="1">
      <alignment/>
    </xf>
    <xf numFmtId="0" fontId="20" fillId="0" borderId="0" xfId="0" applyFont="1" applyAlignment="1">
      <alignment horizontal="center"/>
    </xf>
    <xf numFmtId="0" fontId="1" fillId="0" borderId="0" xfId="52" applyFont="1" applyBorder="1" applyAlignment="1">
      <alignment/>
      <protection/>
    </xf>
    <xf numFmtId="0" fontId="1" fillId="0" borderId="14" xfId="52" applyFont="1" applyBorder="1" applyAlignment="1">
      <alignment horizontal="right"/>
      <protection/>
    </xf>
    <xf numFmtId="2" fontId="1" fillId="0" borderId="14" xfId="52" applyNumberFormat="1" applyFont="1" applyBorder="1" applyAlignment="1">
      <alignment horizontal="right"/>
      <protection/>
    </xf>
    <xf numFmtId="214" fontId="1" fillId="0" borderId="14" xfId="52" applyNumberFormat="1" applyFont="1" applyBorder="1" applyAlignment="1">
      <alignment horizontal="right"/>
      <protection/>
    </xf>
    <xf numFmtId="214" fontId="1" fillId="0" borderId="14" xfId="0" applyNumberFormat="1" applyFont="1" applyBorder="1" applyAlignment="1">
      <alignment/>
    </xf>
    <xf numFmtId="0" fontId="24" fillId="0" borderId="0" xfId="0" applyFont="1" applyAlignment="1">
      <alignment/>
    </xf>
    <xf numFmtId="0" fontId="24" fillId="0" borderId="33" xfId="0" applyFont="1" applyBorder="1" applyAlignment="1">
      <alignment horizontal="left"/>
    </xf>
    <xf numFmtId="2" fontId="24" fillId="0" borderId="13" xfId="0" applyNumberFormat="1" applyFont="1" applyBorder="1" applyAlignment="1">
      <alignment horizontal="center"/>
    </xf>
    <xf numFmtId="0" fontId="24" fillId="0" borderId="31" xfId="0" applyFont="1" applyBorder="1" applyAlignment="1">
      <alignment horizontal="left"/>
    </xf>
    <xf numFmtId="2" fontId="24" fillId="0" borderId="14" xfId="0" applyNumberFormat="1" applyFont="1" applyBorder="1" applyAlignment="1">
      <alignment horizontal="center"/>
    </xf>
    <xf numFmtId="0" fontId="0" fillId="0" borderId="31" xfId="0" applyBorder="1" applyAlignment="1">
      <alignment/>
    </xf>
    <xf numFmtId="0" fontId="26" fillId="0" borderId="0" xfId="0" applyFont="1" applyAlignment="1">
      <alignment/>
    </xf>
    <xf numFmtId="0" fontId="21" fillId="0" borderId="0" xfId="52" applyFont="1" applyBorder="1" applyAlignment="1">
      <alignment horizontal="centerContinuous"/>
      <protection/>
    </xf>
    <xf numFmtId="0" fontId="27" fillId="0" borderId="0" xfId="52" applyFont="1" applyBorder="1" applyAlignment="1">
      <alignment horizontal="left"/>
      <protection/>
    </xf>
    <xf numFmtId="0" fontId="27" fillId="0" borderId="0" xfId="52" applyFont="1" applyBorder="1" applyAlignment="1">
      <alignment horizontal="centerContinuous"/>
      <protection/>
    </xf>
    <xf numFmtId="0" fontId="28" fillId="0" borderId="0" xfId="52" applyFont="1" applyBorder="1" applyAlignment="1">
      <alignment horizontal="centerContinuous"/>
      <protection/>
    </xf>
    <xf numFmtId="0" fontId="22" fillId="0" borderId="0" xfId="52" applyFont="1" applyBorder="1" applyAlignment="1">
      <alignment horizontal="left"/>
      <protection/>
    </xf>
    <xf numFmtId="0" fontId="1" fillId="0" borderId="0" xfId="52" applyFont="1" applyBorder="1" applyAlignment="1">
      <alignment/>
      <protection/>
    </xf>
    <xf numFmtId="9" fontId="0" fillId="0" borderId="0" xfId="0" applyNumberFormat="1" applyFont="1" applyAlignment="1">
      <alignment/>
    </xf>
    <xf numFmtId="0" fontId="22" fillId="0" borderId="55" xfId="52" applyFont="1" applyBorder="1" applyAlignment="1">
      <alignment horizontal="center"/>
      <protection/>
    </xf>
    <xf numFmtId="0" fontId="29" fillId="0" borderId="55" xfId="52" applyFont="1" applyBorder="1" applyAlignment="1">
      <alignment horizontal="left"/>
      <protection/>
    </xf>
    <xf numFmtId="0" fontId="22" fillId="0" borderId="15" xfId="52" applyFont="1" applyBorder="1" applyAlignment="1">
      <alignment horizontal="center"/>
      <protection/>
    </xf>
    <xf numFmtId="0" fontId="22" fillId="0" borderId="20" xfId="52" applyFont="1" applyBorder="1" applyAlignment="1">
      <alignment horizontal="center"/>
      <protection/>
    </xf>
    <xf numFmtId="0" fontId="22" fillId="0" borderId="31" xfId="0" applyFont="1" applyBorder="1" applyAlignment="1">
      <alignment horizontal="center" wrapText="1"/>
    </xf>
    <xf numFmtId="0" fontId="1" fillId="0" borderId="56" xfId="52" applyFont="1" applyBorder="1" applyAlignment="1">
      <alignment/>
      <protection/>
    </xf>
    <xf numFmtId="0" fontId="29" fillId="0" borderId="56" xfId="52" applyFont="1" applyBorder="1" applyAlignment="1">
      <alignment/>
      <protection/>
    </xf>
    <xf numFmtId="0" fontId="22" fillId="0" borderId="13" xfId="52" applyFont="1" applyBorder="1" applyAlignment="1">
      <alignment horizontal="center"/>
      <protection/>
    </xf>
    <xf numFmtId="41" fontId="22" fillId="0" borderId="13" xfId="48" applyFont="1" applyBorder="1" applyAlignment="1" quotePrefix="1">
      <alignment horizontal="centerContinuous"/>
    </xf>
    <xf numFmtId="0" fontId="22" fillId="0" borderId="13" xfId="0" applyFont="1" applyFill="1" applyBorder="1" applyAlignment="1">
      <alignment/>
    </xf>
    <xf numFmtId="0" fontId="22" fillId="0" borderId="13" xfId="0" applyFont="1" applyBorder="1" applyAlignment="1">
      <alignment/>
    </xf>
    <xf numFmtId="41" fontId="22" fillId="0" borderId="13" xfId="48" applyFont="1" applyFill="1" applyBorder="1" applyAlignment="1" quotePrefix="1">
      <alignment horizontal="centerContinuous"/>
    </xf>
    <xf numFmtId="0" fontId="29" fillId="0" borderId="0" xfId="52" applyFont="1" applyBorder="1" applyAlignment="1">
      <alignment/>
      <protection/>
    </xf>
    <xf numFmtId="193" fontId="30" fillId="38" borderId="13" xfId="50" applyNumberFormat="1" applyFont="1" applyFill="1" applyBorder="1" applyAlignment="1">
      <alignment horizontal="center"/>
    </xf>
    <xf numFmtId="0" fontId="29" fillId="0" borderId="0" xfId="52" applyFont="1" applyBorder="1" applyAlignment="1">
      <alignment horizontal="centerContinuous"/>
      <protection/>
    </xf>
    <xf numFmtId="0" fontId="31" fillId="0" borderId="0" xfId="0" applyFont="1" applyFill="1" applyAlignment="1">
      <alignment/>
    </xf>
    <xf numFmtId="0" fontId="31" fillId="0" borderId="0" xfId="0" applyFont="1" applyAlignment="1">
      <alignment/>
    </xf>
    <xf numFmtId="0" fontId="22" fillId="0" borderId="14" xfId="52" applyFont="1" applyBorder="1" applyAlignment="1" quotePrefix="1">
      <alignment horizontal="left"/>
      <protection/>
    </xf>
    <xf numFmtId="0" fontId="32" fillId="0" borderId="0" xfId="52" applyFont="1" applyBorder="1" applyAlignment="1" quotePrefix="1">
      <alignment horizontal="left"/>
      <protection/>
    </xf>
    <xf numFmtId="194" fontId="1" fillId="0" borderId="0" xfId="49" applyNumberFormat="1" applyFont="1" applyBorder="1" applyAlignment="1">
      <alignment horizontal="center"/>
    </xf>
    <xf numFmtId="193" fontId="22" fillId="0" borderId="14" xfId="50" applyNumberFormat="1" applyFont="1" applyBorder="1" applyAlignment="1">
      <alignment horizontal="center"/>
    </xf>
    <xf numFmtId="195" fontId="1" fillId="0" borderId="0" xfId="0" applyNumberFormat="1" applyFont="1" applyFill="1" applyBorder="1" applyAlignment="1">
      <alignment/>
    </xf>
    <xf numFmtId="2" fontId="1" fillId="0" borderId="0" xfId="0" applyNumberFormat="1" applyFont="1" applyFill="1" applyBorder="1" applyAlignment="1">
      <alignment/>
    </xf>
    <xf numFmtId="194" fontId="1" fillId="0" borderId="0" xfId="49" applyNumberFormat="1" applyFont="1" applyFill="1" applyBorder="1" applyAlignment="1">
      <alignment horizontal="center"/>
    </xf>
    <xf numFmtId="0" fontId="22" fillId="0" borderId="57" xfId="0" applyFont="1" applyFill="1" applyBorder="1" applyAlignment="1">
      <alignment horizontal="center"/>
    </xf>
    <xf numFmtId="196" fontId="1" fillId="0" borderId="0" xfId="49" applyNumberFormat="1" applyFont="1" applyFill="1" applyBorder="1" applyAlignment="1">
      <alignment/>
    </xf>
    <xf numFmtId="0" fontId="26" fillId="0" borderId="14" xfId="0" applyFont="1" applyBorder="1" applyAlignment="1">
      <alignment/>
    </xf>
    <xf numFmtId="0" fontId="32" fillId="0" borderId="14" xfId="0" applyFont="1" applyFill="1" applyBorder="1" applyAlignment="1">
      <alignment horizontal="center"/>
    </xf>
    <xf numFmtId="0" fontId="22" fillId="0" borderId="0" xfId="0" applyFont="1" applyFill="1" applyBorder="1" applyAlignment="1">
      <alignment horizontal="center"/>
    </xf>
    <xf numFmtId="2" fontId="22" fillId="0" borderId="18" xfId="0" applyNumberFormat="1" applyFont="1" applyFill="1" applyBorder="1" applyAlignment="1">
      <alignment horizontal="center"/>
    </xf>
    <xf numFmtId="2" fontId="22" fillId="0" borderId="20" xfId="0" applyNumberFormat="1" applyFont="1" applyFill="1" applyBorder="1" applyAlignment="1">
      <alignment horizontal="center"/>
    </xf>
    <xf numFmtId="2" fontId="22" fillId="0" borderId="19" xfId="0" applyNumberFormat="1" applyFont="1" applyFill="1" applyBorder="1" applyAlignment="1">
      <alignment horizontal="center"/>
    </xf>
    <xf numFmtId="0" fontId="1" fillId="0" borderId="13" xfId="0" applyFont="1" applyFill="1" applyBorder="1" applyAlignment="1">
      <alignment horizontal="left"/>
    </xf>
    <xf numFmtId="0" fontId="1" fillId="0" borderId="14" xfId="0" applyFont="1" applyFill="1" applyBorder="1" applyAlignment="1">
      <alignment horizontal="center"/>
    </xf>
    <xf numFmtId="197" fontId="1" fillId="0" borderId="14" xfId="0" applyNumberFormat="1" applyFont="1" applyBorder="1" applyAlignment="1">
      <alignment horizontal="right"/>
    </xf>
    <xf numFmtId="0" fontId="1" fillId="0" borderId="14" xfId="0" applyFont="1" applyFill="1" applyBorder="1" applyAlignment="1">
      <alignment horizontal="left"/>
    </xf>
    <xf numFmtId="0" fontId="1" fillId="0" borderId="14" xfId="0" applyFont="1" applyFill="1" applyBorder="1" applyAlignment="1">
      <alignment horizontal="right"/>
    </xf>
    <xf numFmtId="193" fontId="1" fillId="0" borderId="14" xfId="50" applyNumberFormat="1" applyFont="1" applyBorder="1" applyAlignment="1">
      <alignment/>
    </xf>
    <xf numFmtId="0" fontId="0" fillId="0" borderId="14" xfId="0" applyFont="1" applyBorder="1" applyAlignment="1">
      <alignment horizontal="left"/>
    </xf>
    <xf numFmtId="198" fontId="22" fillId="0" borderId="31" xfId="49" applyNumberFormat="1" applyFont="1" applyBorder="1" applyAlignment="1">
      <alignment horizontal="right"/>
    </xf>
    <xf numFmtId="198" fontId="22" fillId="0" borderId="14" xfId="49" applyNumberFormat="1" applyFont="1" applyFill="1" applyBorder="1" applyAlignment="1">
      <alignment horizontal="right"/>
    </xf>
    <xf numFmtId="198" fontId="22" fillId="0" borderId="14" xfId="49" applyNumberFormat="1" applyFont="1" applyBorder="1" applyAlignment="1">
      <alignment horizontal="right"/>
    </xf>
    <xf numFmtId="193" fontId="1" fillId="0" borderId="0" xfId="50" applyNumberFormat="1" applyFont="1" applyBorder="1" applyAlignment="1">
      <alignment/>
    </xf>
    <xf numFmtId="198" fontId="1" fillId="0" borderId="0" xfId="49" applyNumberFormat="1" applyFont="1" applyBorder="1" applyAlignment="1">
      <alignment horizontal="center"/>
    </xf>
    <xf numFmtId="193" fontId="22" fillId="0" borderId="0" xfId="50" applyNumberFormat="1" applyFont="1" applyFill="1" applyBorder="1" applyAlignment="1">
      <alignment horizontal="center"/>
    </xf>
    <xf numFmtId="0" fontId="0" fillId="0" borderId="0" xfId="0" applyFont="1" applyFill="1" applyAlignment="1">
      <alignment/>
    </xf>
    <xf numFmtId="193" fontId="22" fillId="0" borderId="0" xfId="50" applyNumberFormat="1" applyFont="1" applyBorder="1" applyAlignment="1">
      <alignment horizontal="center"/>
    </xf>
    <xf numFmtId="192" fontId="1" fillId="0" borderId="14" xfId="0" applyNumberFormat="1" applyFont="1" applyBorder="1" applyAlignment="1">
      <alignment horizontal="right"/>
    </xf>
    <xf numFmtId="2" fontId="1" fillId="0" borderId="14" xfId="49" applyNumberFormat="1" applyFont="1" applyBorder="1" applyAlignment="1">
      <alignment horizontal="right"/>
    </xf>
    <xf numFmtId="222" fontId="22" fillId="0" borderId="14" xfId="49" applyNumberFormat="1" applyFont="1" applyBorder="1" applyAlignment="1">
      <alignment/>
    </xf>
    <xf numFmtId="222" fontId="22" fillId="0" borderId="0" xfId="49" applyNumberFormat="1" applyFont="1" applyBorder="1" applyAlignment="1">
      <alignment/>
    </xf>
    <xf numFmtId="44" fontId="22" fillId="0" borderId="0" xfId="49" applyFont="1" applyBorder="1" applyAlignment="1">
      <alignment/>
    </xf>
    <xf numFmtId="0" fontId="1" fillId="0" borderId="0" xfId="0" applyFont="1" applyAlignment="1">
      <alignment horizontal="center"/>
    </xf>
    <xf numFmtId="164" fontId="1" fillId="0" borderId="14" xfId="52" applyNumberFormat="1" applyFont="1" applyBorder="1" applyAlignment="1">
      <alignment horizontal="center"/>
      <protection/>
    </xf>
    <xf numFmtId="164" fontId="1" fillId="0" borderId="14" xfId="0" applyNumberFormat="1" applyFont="1" applyBorder="1" applyAlignment="1">
      <alignment horizontal="center"/>
    </xf>
    <xf numFmtId="0" fontId="22" fillId="0" borderId="11" xfId="52" applyFont="1" applyBorder="1" applyAlignment="1">
      <alignment horizontal="center"/>
      <protection/>
    </xf>
    <xf numFmtId="0" fontId="22" fillId="0" borderId="0" xfId="52" applyFont="1" applyBorder="1" applyAlignment="1">
      <alignment horizontal="center"/>
      <protection/>
    </xf>
    <xf numFmtId="0" fontId="35" fillId="0" borderId="0" xfId="0" applyFont="1" applyBorder="1" applyAlignment="1">
      <alignment/>
    </xf>
    <xf numFmtId="0" fontId="22" fillId="0" borderId="17" xfId="52" applyFont="1" applyBorder="1" applyAlignment="1">
      <alignment horizontal="center"/>
      <protection/>
    </xf>
    <xf numFmtId="0" fontId="32" fillId="0" borderId="15" xfId="52" applyFont="1" applyBorder="1" applyAlignment="1">
      <alignment horizontal="center"/>
      <protection/>
    </xf>
    <xf numFmtId="190" fontId="36" fillId="0" borderId="15" xfId="48" applyNumberFormat="1" applyFont="1" applyBorder="1" applyAlignment="1">
      <alignment horizontal="center"/>
    </xf>
    <xf numFmtId="0" fontId="37" fillId="0" borderId="18" xfId="0" applyFont="1" applyBorder="1" applyAlignment="1">
      <alignment/>
    </xf>
    <xf numFmtId="0" fontId="38" fillId="0" borderId="20" xfId="0" applyFont="1" applyBorder="1" applyAlignment="1">
      <alignment/>
    </xf>
    <xf numFmtId="222" fontId="39" fillId="0" borderId="11" xfId="49" applyNumberFormat="1" applyFont="1" applyBorder="1" applyAlignment="1">
      <alignment/>
    </xf>
    <xf numFmtId="44" fontId="40" fillId="0" borderId="20" xfId="49" applyFont="1" applyBorder="1" applyAlignment="1">
      <alignment/>
    </xf>
    <xf numFmtId="193" fontId="22" fillId="0" borderId="14" xfId="50" applyNumberFormat="1" applyFont="1" applyFill="1" applyBorder="1" applyAlignment="1">
      <alignment horizontal="center"/>
    </xf>
    <xf numFmtId="192" fontId="1" fillId="0" borderId="14" xfId="0" applyNumberFormat="1" applyFont="1" applyFill="1" applyBorder="1" applyAlignment="1">
      <alignment/>
    </xf>
    <xf numFmtId="197" fontId="1" fillId="0" borderId="14" xfId="0" applyNumberFormat="1" applyFont="1" applyFill="1" applyBorder="1" applyAlignment="1">
      <alignment horizontal="right"/>
    </xf>
    <xf numFmtId="0" fontId="22" fillId="0" borderId="14" xfId="52" applyFont="1" applyFill="1" applyBorder="1" applyAlignment="1">
      <alignment/>
      <protection/>
    </xf>
    <xf numFmtId="193" fontId="1" fillId="0" borderId="14" xfId="50" applyNumberFormat="1" applyFont="1" applyFill="1" applyBorder="1" applyAlignment="1">
      <alignment/>
    </xf>
    <xf numFmtId="198" fontId="22" fillId="0" borderId="31" xfId="49" applyNumberFormat="1" applyFont="1" applyFill="1" applyBorder="1" applyAlignment="1">
      <alignment horizontal="right"/>
    </xf>
    <xf numFmtId="0" fontId="22" fillId="0" borderId="14" xfId="52" applyFont="1" applyFill="1" applyBorder="1" applyAlignment="1">
      <alignment horizontal="center"/>
      <protection/>
    </xf>
    <xf numFmtId="0" fontId="22" fillId="0" borderId="0" xfId="52" applyFont="1" applyFill="1" applyBorder="1" applyAlignment="1">
      <alignment/>
      <protection/>
    </xf>
    <xf numFmtId="193" fontId="1" fillId="0" borderId="0" xfId="50" applyNumberFormat="1" applyFont="1" applyFill="1" applyBorder="1" applyAlignment="1">
      <alignment/>
    </xf>
    <xf numFmtId="198" fontId="1" fillId="0" borderId="0" xfId="49" applyNumberFormat="1" applyFont="1" applyFill="1" applyBorder="1" applyAlignment="1">
      <alignment horizontal="center"/>
    </xf>
    <xf numFmtId="0" fontId="1" fillId="0" borderId="14" xfId="52" applyFont="1" applyFill="1" applyBorder="1" applyAlignment="1">
      <alignment/>
      <protection/>
    </xf>
    <xf numFmtId="0" fontId="1" fillId="0" borderId="14" xfId="52" applyFont="1" applyFill="1" applyBorder="1" applyAlignment="1">
      <alignment horizontal="center"/>
      <protection/>
    </xf>
    <xf numFmtId="193" fontId="1" fillId="0" borderId="14" xfId="50" applyNumberFormat="1" applyFont="1" applyFill="1" applyBorder="1" applyAlignment="1">
      <alignment horizontal="center"/>
    </xf>
    <xf numFmtId="192" fontId="1" fillId="0" borderId="14" xfId="0" applyNumberFormat="1" applyFont="1" applyFill="1" applyBorder="1" applyAlignment="1">
      <alignment horizontal="right"/>
    </xf>
    <xf numFmtId="2" fontId="1" fillId="0" borderId="14" xfId="49" applyNumberFormat="1" applyFont="1" applyFill="1" applyBorder="1" applyAlignment="1">
      <alignment horizontal="right"/>
    </xf>
    <xf numFmtId="44" fontId="1" fillId="0" borderId="14" xfId="49" applyFont="1" applyFill="1" applyBorder="1" applyAlignment="1">
      <alignment/>
    </xf>
    <xf numFmtId="44" fontId="22" fillId="0" borderId="14" xfId="49" applyFont="1" applyFill="1" applyBorder="1" applyAlignment="1">
      <alignment/>
    </xf>
    <xf numFmtId="0" fontId="1" fillId="0" borderId="0" xfId="52" applyFont="1" applyFill="1" applyBorder="1" applyAlignment="1">
      <alignment/>
      <protection/>
    </xf>
    <xf numFmtId="44" fontId="22" fillId="0" borderId="0" xfId="49" applyFont="1" applyFill="1" applyBorder="1" applyAlignment="1">
      <alignment/>
    </xf>
    <xf numFmtId="0" fontId="1" fillId="0" borderId="0" xfId="0" applyFont="1" applyFill="1" applyAlignment="1">
      <alignment horizontal="center"/>
    </xf>
    <xf numFmtId="164" fontId="1" fillId="0" borderId="14" xfId="52" applyNumberFormat="1" applyFont="1" applyFill="1" applyBorder="1" applyAlignment="1">
      <alignment horizontal="center"/>
      <protection/>
    </xf>
    <xf numFmtId="0" fontId="1" fillId="0" borderId="14" xfId="0" applyFont="1" applyFill="1" applyBorder="1" applyAlignment="1">
      <alignment/>
    </xf>
    <xf numFmtId="0" fontId="1" fillId="0" borderId="14" xfId="52" applyFont="1" applyFill="1" applyBorder="1" applyAlignment="1">
      <alignment horizontal="left"/>
      <protection/>
    </xf>
    <xf numFmtId="0" fontId="33" fillId="0" borderId="14" xfId="52" applyFont="1" applyFill="1" applyBorder="1" applyAlignment="1">
      <alignment horizontal="center"/>
      <protection/>
    </xf>
    <xf numFmtId="0" fontId="33" fillId="0" borderId="0" xfId="52" applyFont="1" applyFill="1" applyBorder="1" applyAlignment="1">
      <alignment horizontal="center"/>
      <protection/>
    </xf>
    <xf numFmtId="0" fontId="34" fillId="0" borderId="0" xfId="0" applyFont="1" applyFill="1" applyBorder="1" applyAlignment="1">
      <alignment/>
    </xf>
    <xf numFmtId="44" fontId="33" fillId="0" borderId="14" xfId="49" applyFont="1" applyFill="1" applyBorder="1" applyAlignment="1">
      <alignment/>
    </xf>
    <xf numFmtId="0" fontId="22" fillId="0" borderId="0" xfId="52" applyFont="1" applyFill="1" applyBorder="1" applyAlignment="1">
      <alignment horizontal="center"/>
      <protection/>
    </xf>
    <xf numFmtId="0" fontId="35" fillId="0" borderId="0" xfId="0" applyFont="1" applyFill="1" applyBorder="1" applyAlignment="1">
      <alignment/>
    </xf>
    <xf numFmtId="0" fontId="37" fillId="0" borderId="18" xfId="0" applyFont="1" applyFill="1" applyBorder="1" applyAlignment="1">
      <alignment/>
    </xf>
    <xf numFmtId="0" fontId="38" fillId="0" borderId="20" xfId="0" applyFont="1" applyFill="1" applyBorder="1" applyAlignment="1">
      <alignment/>
    </xf>
    <xf numFmtId="0" fontId="38" fillId="0" borderId="58" xfId="0" applyFont="1" applyFill="1" applyBorder="1" applyAlignment="1">
      <alignment/>
    </xf>
    <xf numFmtId="44" fontId="40" fillId="0" borderId="34" xfId="49" applyFont="1" applyFill="1" applyBorder="1" applyAlignment="1">
      <alignment/>
    </xf>
    <xf numFmtId="44" fontId="40" fillId="0" borderId="19" xfId="49" applyFont="1" applyFill="1" applyBorder="1" applyAlignment="1">
      <alignment/>
    </xf>
    <xf numFmtId="0" fontId="22" fillId="0" borderId="0" xfId="0" applyFont="1" applyAlignment="1">
      <alignment horizontal="right"/>
    </xf>
    <xf numFmtId="0" fontId="22" fillId="0" borderId="0" xfId="0" applyFont="1" applyAlignment="1">
      <alignment/>
    </xf>
    <xf numFmtId="0" fontId="22" fillId="0" borderId="16" xfId="0" applyFont="1" applyBorder="1" applyAlignment="1">
      <alignment horizontal="center"/>
    </xf>
    <xf numFmtId="0" fontId="22" fillId="0" borderId="34" xfId="0" applyFont="1" applyBorder="1" applyAlignment="1">
      <alignment horizontal="center"/>
    </xf>
    <xf numFmtId="0" fontId="22" fillId="0" borderId="35" xfId="0" applyFont="1" applyBorder="1" applyAlignment="1">
      <alignment horizontal="center"/>
    </xf>
    <xf numFmtId="164" fontId="1" fillId="35" borderId="0" xfId="0" applyNumberFormat="1" applyFont="1" applyFill="1" applyAlignment="1">
      <alignment/>
    </xf>
    <xf numFmtId="2" fontId="1" fillId="0" borderId="13" xfId="0" applyNumberFormat="1" applyFont="1" applyBorder="1" applyAlignment="1">
      <alignment/>
    </xf>
    <xf numFmtId="2" fontId="1" fillId="35" borderId="13" xfId="0" applyNumberFormat="1" applyFont="1" applyFill="1" applyBorder="1" applyAlignment="1">
      <alignment/>
    </xf>
    <xf numFmtId="2" fontId="1" fillId="0" borderId="14" xfId="0" applyNumberFormat="1" applyFont="1" applyBorder="1" applyAlignment="1">
      <alignment/>
    </xf>
    <xf numFmtId="2" fontId="1" fillId="35" borderId="14" xfId="0" applyNumberFormat="1" applyFont="1" applyFill="1" applyBorder="1" applyAlignment="1">
      <alignment/>
    </xf>
    <xf numFmtId="0" fontId="1" fillId="0" borderId="15" xfId="0" applyFont="1" applyBorder="1" applyAlignment="1">
      <alignment/>
    </xf>
    <xf numFmtId="2" fontId="1" fillId="0" borderId="15" xfId="0" applyNumberFormat="1" applyFont="1" applyBorder="1" applyAlignment="1">
      <alignment/>
    </xf>
    <xf numFmtId="2" fontId="1" fillId="35" borderId="15" xfId="0" applyNumberFormat="1" applyFont="1" applyFill="1" applyBorder="1" applyAlignment="1">
      <alignment/>
    </xf>
    <xf numFmtId="2" fontId="1" fillId="0" borderId="0" xfId="0" applyNumberFormat="1" applyFont="1" applyAlignment="1">
      <alignment/>
    </xf>
    <xf numFmtId="0" fontId="22" fillId="0" borderId="16" xfId="0" applyFont="1" applyBorder="1" applyAlignment="1">
      <alignment/>
    </xf>
    <xf numFmtId="0" fontId="1" fillId="0" borderId="34" xfId="0" applyFont="1" applyBorder="1" applyAlignment="1">
      <alignment/>
    </xf>
    <xf numFmtId="2" fontId="1" fillId="0" borderId="34" xfId="0" applyNumberFormat="1" applyFont="1" applyBorder="1" applyAlignment="1">
      <alignment/>
    </xf>
    <xf numFmtId="2" fontId="1" fillId="35" borderId="34" xfId="0" applyNumberFormat="1" applyFont="1" applyFill="1" applyBorder="1" applyAlignment="1">
      <alignment/>
    </xf>
    <xf numFmtId="2" fontId="1" fillId="35" borderId="35" xfId="0" applyNumberFormat="1" applyFont="1" applyFill="1" applyBorder="1" applyAlignment="1">
      <alignment/>
    </xf>
    <xf numFmtId="0" fontId="33" fillId="0" borderId="0" xfId="0" applyFont="1" applyAlignment="1">
      <alignment/>
    </xf>
    <xf numFmtId="9" fontId="1" fillId="0" borderId="0" xfId="0" applyNumberFormat="1" applyFont="1" applyAlignment="1">
      <alignment/>
    </xf>
    <xf numFmtId="0" fontId="1" fillId="0" borderId="0" xfId="0" applyFont="1" applyFill="1" applyAlignment="1">
      <alignment/>
    </xf>
    <xf numFmtId="0" fontId="33" fillId="0" borderId="14" xfId="0" applyFont="1" applyBorder="1" applyAlignment="1">
      <alignment/>
    </xf>
    <xf numFmtId="0" fontId="1" fillId="0" borderId="0" xfId="0" applyFont="1" applyBorder="1" applyAlignment="1">
      <alignment/>
    </xf>
    <xf numFmtId="0" fontId="22" fillId="0" borderId="15" xfId="0" applyFont="1" applyBorder="1" applyAlignment="1">
      <alignment/>
    </xf>
    <xf numFmtId="9" fontId="1" fillId="0" borderId="14" xfId="0" applyNumberFormat="1" applyFont="1" applyBorder="1" applyAlignment="1">
      <alignment/>
    </xf>
    <xf numFmtId="0" fontId="1" fillId="0" borderId="14" xfId="0" applyFont="1" applyBorder="1" applyAlignment="1">
      <alignment horizontal="center"/>
    </xf>
    <xf numFmtId="2" fontId="1" fillId="35" borderId="14" xfId="0" applyNumberFormat="1" applyFont="1" applyFill="1" applyBorder="1" applyAlignment="1" applyProtection="1">
      <alignment/>
      <protection/>
    </xf>
    <xf numFmtId="0" fontId="1" fillId="0" borderId="14" xfId="0" applyFont="1" applyBorder="1" applyAlignment="1" applyProtection="1">
      <alignment/>
      <protection/>
    </xf>
    <xf numFmtId="0" fontId="1" fillId="39" borderId="14" xfId="0" applyFont="1" applyFill="1" applyBorder="1" applyAlignment="1">
      <alignment/>
    </xf>
    <xf numFmtId="1" fontId="1" fillId="35" borderId="14" xfId="0" applyNumberFormat="1" applyFont="1" applyFill="1" applyBorder="1" applyAlignment="1">
      <alignment/>
    </xf>
    <xf numFmtId="0" fontId="22" fillId="0" borderId="14" xfId="0" applyFont="1" applyFill="1" applyBorder="1" applyAlignment="1">
      <alignment horizontal="center"/>
    </xf>
    <xf numFmtId="2" fontId="1" fillId="0" borderId="14" xfId="0" applyNumberFormat="1" applyFont="1" applyFill="1" applyBorder="1" applyAlignment="1">
      <alignment/>
    </xf>
    <xf numFmtId="0" fontId="22" fillId="0" borderId="18" xfId="0" applyFont="1" applyBorder="1" applyAlignment="1">
      <alignment/>
    </xf>
    <xf numFmtId="0" fontId="1" fillId="0" borderId="20" xfId="0" applyFont="1" applyBorder="1" applyAlignment="1">
      <alignment/>
    </xf>
    <xf numFmtId="2" fontId="1" fillId="0" borderId="19" xfId="0" applyNumberFormat="1" applyFont="1" applyBorder="1" applyAlignment="1">
      <alignment/>
    </xf>
    <xf numFmtId="10" fontId="1" fillId="0" borderId="0" xfId="54" applyNumberFormat="1" applyFont="1" applyAlignment="1">
      <alignment/>
    </xf>
    <xf numFmtId="0" fontId="1" fillId="35" borderId="14" xfId="0" applyFont="1" applyFill="1" applyBorder="1" applyAlignment="1">
      <alignment/>
    </xf>
    <xf numFmtId="0" fontId="1" fillId="0" borderId="18" xfId="0" applyFont="1" applyBorder="1" applyAlignment="1">
      <alignment/>
    </xf>
    <xf numFmtId="10" fontId="1" fillId="0" borderId="19" xfId="0" applyNumberFormat="1" applyFont="1" applyBorder="1" applyAlignment="1">
      <alignment/>
    </xf>
    <xf numFmtId="0" fontId="1" fillId="0" borderId="21" xfId="0" applyFont="1" applyBorder="1" applyAlignment="1">
      <alignment/>
    </xf>
    <xf numFmtId="0" fontId="1" fillId="0" borderId="19" xfId="0" applyFont="1" applyBorder="1" applyAlignment="1">
      <alignment/>
    </xf>
    <xf numFmtId="10" fontId="1" fillId="0" borderId="14" xfId="54" applyNumberFormat="1" applyFont="1" applyBorder="1" applyAlignment="1">
      <alignment/>
    </xf>
    <xf numFmtId="167" fontId="1" fillId="0" borderId="14" xfId="0" applyNumberFormat="1" applyFont="1" applyBorder="1" applyAlignment="1">
      <alignment/>
    </xf>
    <xf numFmtId="0" fontId="1" fillId="0" borderId="0" xfId="0" applyFont="1" applyBorder="1" applyAlignment="1">
      <alignment horizontal="center"/>
    </xf>
    <xf numFmtId="0" fontId="9" fillId="0" borderId="14" xfId="0" applyFont="1" applyBorder="1" applyAlignment="1">
      <alignment/>
    </xf>
    <xf numFmtId="0" fontId="9" fillId="0" borderId="0" xfId="0" applyFont="1" applyAlignment="1">
      <alignment horizontal="right"/>
    </xf>
    <xf numFmtId="164" fontId="0" fillId="35" borderId="0" xfId="0" applyNumberFormat="1" applyFill="1" applyAlignment="1">
      <alignment/>
    </xf>
    <xf numFmtId="2" fontId="0" fillId="35" borderId="13" xfId="0" applyNumberFormat="1" applyFill="1" applyBorder="1" applyAlignment="1">
      <alignment/>
    </xf>
    <xf numFmtId="0" fontId="0" fillId="0" borderId="34" xfId="0" applyBorder="1" applyAlignment="1">
      <alignment/>
    </xf>
    <xf numFmtId="2" fontId="0" fillId="0" borderId="34" xfId="0" applyNumberFormat="1" applyBorder="1" applyAlignment="1">
      <alignment/>
    </xf>
    <xf numFmtId="2" fontId="0" fillId="35" borderId="34" xfId="0" applyNumberFormat="1" applyFill="1" applyBorder="1" applyAlignment="1">
      <alignment/>
    </xf>
    <xf numFmtId="2" fontId="0" fillId="35" borderId="35" xfId="0" applyNumberFormat="1" applyFill="1" applyBorder="1" applyAlignment="1">
      <alignment/>
    </xf>
    <xf numFmtId="2" fontId="0" fillId="0" borderId="0" xfId="0" applyNumberFormat="1" applyAlignment="1">
      <alignment/>
    </xf>
    <xf numFmtId="0" fontId="43" fillId="0" borderId="0" xfId="0" applyFont="1" applyAlignment="1">
      <alignment/>
    </xf>
    <xf numFmtId="0" fontId="9" fillId="0" borderId="13" xfId="0" applyFont="1" applyBorder="1" applyAlignment="1">
      <alignment/>
    </xf>
    <xf numFmtId="2" fontId="0" fillId="35" borderId="14" xfId="0" applyNumberFormat="1" applyFill="1" applyBorder="1" applyAlignment="1">
      <alignment/>
    </xf>
    <xf numFmtId="0" fontId="43" fillId="0" borderId="14" xfId="0" applyFont="1" applyBorder="1" applyAlignment="1">
      <alignment/>
    </xf>
    <xf numFmtId="0" fontId="0" fillId="0" borderId="0" xfId="0" applyBorder="1" applyAlignment="1">
      <alignment/>
    </xf>
    <xf numFmtId="9" fontId="0" fillId="0" borderId="14" xfId="0" applyNumberFormat="1" applyBorder="1" applyAlignment="1">
      <alignment/>
    </xf>
    <xf numFmtId="0" fontId="9" fillId="0" borderId="15" xfId="0" applyFont="1" applyBorder="1" applyAlignment="1">
      <alignment/>
    </xf>
    <xf numFmtId="2" fontId="0" fillId="35" borderId="15" xfId="0" applyNumberFormat="1" applyFill="1" applyBorder="1" applyAlignment="1">
      <alignment/>
    </xf>
    <xf numFmtId="1" fontId="0" fillId="35" borderId="14" xfId="0" applyNumberFormat="1" applyFill="1" applyBorder="1" applyAlignment="1">
      <alignment/>
    </xf>
    <xf numFmtId="0" fontId="9" fillId="0" borderId="14" xfId="0" applyFont="1" applyBorder="1" applyAlignment="1">
      <alignment horizontal="center"/>
    </xf>
    <xf numFmtId="2" fontId="0" fillId="35" borderId="14" xfId="0" applyNumberFormat="1" applyFill="1" applyBorder="1" applyAlignment="1" applyProtection="1">
      <alignment/>
      <protection/>
    </xf>
    <xf numFmtId="0" fontId="0" fillId="0" borderId="14" xfId="0" applyBorder="1" applyAlignment="1" applyProtection="1">
      <alignment/>
      <protection/>
    </xf>
    <xf numFmtId="0" fontId="44" fillId="0" borderId="0" xfId="0" applyFont="1" applyAlignment="1" applyProtection="1">
      <alignment/>
      <protection/>
    </xf>
    <xf numFmtId="0" fontId="0" fillId="39" borderId="14" xfId="0" applyFill="1" applyBorder="1" applyAlignment="1">
      <alignment/>
    </xf>
    <xf numFmtId="0" fontId="0" fillId="35" borderId="0" xfId="0" applyFill="1" applyAlignment="1">
      <alignment/>
    </xf>
    <xf numFmtId="10" fontId="0" fillId="35" borderId="0" xfId="0" applyNumberFormat="1" applyFill="1" applyAlignment="1">
      <alignment/>
    </xf>
    <xf numFmtId="10" fontId="0" fillId="0" borderId="14" xfId="54" applyNumberFormat="1" applyFont="1" applyBorder="1" applyAlignment="1">
      <alignment/>
    </xf>
    <xf numFmtId="166" fontId="0" fillId="0" borderId="19" xfId="0" applyNumberFormat="1" applyBorder="1" applyAlignment="1">
      <alignment/>
    </xf>
    <xf numFmtId="2" fontId="0" fillId="0" borderId="19" xfId="0" applyNumberFormat="1" applyBorder="1" applyAlignment="1">
      <alignment/>
    </xf>
    <xf numFmtId="166" fontId="1" fillId="0" borderId="14" xfId="0" applyNumberFormat="1" applyFont="1" applyBorder="1" applyAlignment="1">
      <alignment/>
    </xf>
    <xf numFmtId="0" fontId="0" fillId="0" borderId="0" xfId="0" applyBorder="1" applyAlignment="1">
      <alignment horizontal="center"/>
    </xf>
    <xf numFmtId="0" fontId="1" fillId="35" borderId="57" xfId="0" applyFont="1" applyFill="1" applyBorder="1" applyAlignment="1">
      <alignment horizontal="center"/>
    </xf>
    <xf numFmtId="0" fontId="1" fillId="35" borderId="22" xfId="0" applyFont="1" applyFill="1" applyBorder="1" applyAlignment="1">
      <alignment horizontal="center"/>
    </xf>
    <xf numFmtId="0" fontId="0" fillId="0" borderId="26" xfId="0" applyBorder="1" applyAlignment="1">
      <alignment horizontal="center" vertical="center"/>
    </xf>
    <xf numFmtId="0" fontId="1" fillId="35" borderId="26" xfId="0" applyFont="1" applyFill="1" applyBorder="1" applyAlignment="1">
      <alignment horizontal="center"/>
    </xf>
    <xf numFmtId="0" fontId="1" fillId="35" borderId="24" xfId="0" applyFont="1" applyFill="1" applyBorder="1" applyAlignment="1">
      <alignment horizontal="center"/>
    </xf>
    <xf numFmtId="0" fontId="0" fillId="0" borderId="49" xfId="0" applyBorder="1" applyAlignment="1">
      <alignment/>
    </xf>
    <xf numFmtId="0" fontId="0" fillId="0" borderId="52" xfId="0" applyBorder="1" applyAlignment="1">
      <alignment/>
    </xf>
    <xf numFmtId="0" fontId="0" fillId="0" borderId="53" xfId="0" applyBorder="1" applyAlignment="1">
      <alignment/>
    </xf>
    <xf numFmtId="0" fontId="0" fillId="0" borderId="59" xfId="0" applyBorder="1" applyAlignment="1">
      <alignment/>
    </xf>
    <xf numFmtId="0" fontId="0" fillId="0" borderId="10" xfId="0" applyBorder="1" applyAlignment="1">
      <alignment/>
    </xf>
    <xf numFmtId="0" fontId="1" fillId="0" borderId="57" xfId="0" applyFont="1" applyBorder="1" applyAlignment="1">
      <alignment horizontal="center" vertical="center"/>
    </xf>
    <xf numFmtId="0" fontId="1" fillId="0" borderId="57" xfId="0" applyFont="1" applyBorder="1" applyAlignment="1">
      <alignment horizontal="center" vertical="center" wrapText="1"/>
    </xf>
    <xf numFmtId="0" fontId="1" fillId="0" borderId="57" xfId="0" applyFont="1" applyBorder="1" applyAlignment="1">
      <alignment horizontal="center"/>
    </xf>
    <xf numFmtId="0" fontId="1" fillId="0" borderId="22" xfId="0" applyFont="1" applyBorder="1" applyAlignment="1">
      <alignment horizontal="center"/>
    </xf>
    <xf numFmtId="0" fontId="35" fillId="0" borderId="0" xfId="0" applyFont="1" applyAlignment="1">
      <alignment/>
    </xf>
    <xf numFmtId="0" fontId="33" fillId="0" borderId="45" xfId="0" applyFont="1" applyBorder="1" applyAlignment="1">
      <alignment horizontal="center" wrapText="1"/>
    </xf>
    <xf numFmtId="0" fontId="33" fillId="0" borderId="60" xfId="0" applyFont="1" applyBorder="1" applyAlignment="1">
      <alignment horizontal="center" vertical="center" wrapText="1"/>
    </xf>
    <xf numFmtId="0" fontId="33" fillId="0" borderId="60" xfId="0" applyFont="1" applyBorder="1" applyAlignment="1">
      <alignment horizontal="center" wrapText="1"/>
    </xf>
    <xf numFmtId="0" fontId="33" fillId="0" borderId="61" xfId="0" applyFont="1" applyBorder="1" applyAlignment="1">
      <alignment horizontal="center" wrapText="1"/>
    </xf>
    <xf numFmtId="0" fontId="33" fillId="0" borderId="29" xfId="0" applyFont="1" applyBorder="1" applyAlignment="1">
      <alignment horizontal="center" wrapText="1"/>
    </xf>
    <xf numFmtId="0" fontId="33" fillId="0" borderId="14" xfId="0" applyFont="1" applyBorder="1" applyAlignment="1">
      <alignment horizontal="center" vertical="center" wrapText="1"/>
    </xf>
    <xf numFmtId="0" fontId="33" fillId="0" borderId="14" xfId="0" applyFont="1" applyBorder="1" applyAlignment="1">
      <alignment horizontal="center" wrapText="1"/>
    </xf>
    <xf numFmtId="0" fontId="33" fillId="0" borderId="39" xfId="0" applyFont="1" applyBorder="1" applyAlignment="1">
      <alignment horizontal="center" wrapText="1"/>
    </xf>
    <xf numFmtId="0" fontId="33" fillId="0" borderId="23" xfId="0" applyFont="1" applyBorder="1" applyAlignment="1">
      <alignment horizontal="center" wrapText="1"/>
    </xf>
    <xf numFmtId="0" fontId="33" fillId="0" borderId="62" xfId="0" applyFont="1" applyBorder="1" applyAlignment="1">
      <alignment horizontal="center" wrapText="1"/>
    </xf>
    <xf numFmtId="0" fontId="1" fillId="0" borderId="62" xfId="0" applyFont="1" applyBorder="1" applyAlignment="1">
      <alignment horizontal="center" wrapText="1"/>
    </xf>
    <xf numFmtId="0" fontId="33" fillId="0" borderId="63" xfId="0" applyFont="1" applyBorder="1" applyAlignment="1">
      <alignment horizontal="center" wrapText="1"/>
    </xf>
    <xf numFmtId="0" fontId="1" fillId="0" borderId="13" xfId="0" applyFont="1" applyBorder="1" applyAlignment="1">
      <alignment wrapText="1"/>
    </xf>
    <xf numFmtId="0" fontId="1" fillId="0" borderId="13" xfId="0" applyFont="1" applyBorder="1" applyAlignment="1">
      <alignment horizontal="center" wrapText="1"/>
    </xf>
    <xf numFmtId="0" fontId="1" fillId="0" borderId="14" xfId="0" applyFont="1" applyBorder="1" applyAlignment="1">
      <alignment wrapText="1"/>
    </xf>
    <xf numFmtId="0" fontId="1" fillId="0" borderId="14" xfId="0" applyFont="1" applyFill="1" applyBorder="1" applyAlignment="1">
      <alignment wrapText="1"/>
    </xf>
    <xf numFmtId="0" fontId="1" fillId="0" borderId="0" xfId="0" applyFont="1" applyAlignment="1">
      <alignment wrapText="1"/>
    </xf>
    <xf numFmtId="0" fontId="9" fillId="0" borderId="14" xfId="0" applyFont="1" applyBorder="1" applyAlignment="1">
      <alignment vertical="center"/>
    </xf>
    <xf numFmtId="0" fontId="27" fillId="0" borderId="14" xfId="0" applyFont="1" applyBorder="1" applyAlignment="1">
      <alignment wrapText="1"/>
    </xf>
    <xf numFmtId="14" fontId="1" fillId="0" borderId="14" xfId="0" applyNumberFormat="1" applyFont="1" applyBorder="1" applyAlignment="1">
      <alignment wrapText="1"/>
    </xf>
    <xf numFmtId="0" fontId="1" fillId="0" borderId="14" xfId="0" applyFont="1" applyBorder="1" applyAlignment="1">
      <alignment horizontal="center" wrapText="1"/>
    </xf>
    <xf numFmtId="0" fontId="1" fillId="0" borderId="14" xfId="0" applyFont="1" applyBorder="1" applyAlignment="1">
      <alignment horizontal="center" vertical="center"/>
    </xf>
    <xf numFmtId="0" fontId="1" fillId="0" borderId="64" xfId="0" applyFont="1" applyBorder="1" applyAlignment="1">
      <alignment wrapText="1"/>
    </xf>
    <xf numFmtId="0" fontId="1" fillId="0" borderId="31" xfId="0" applyFont="1" applyBorder="1" applyAlignment="1">
      <alignment wrapText="1"/>
    </xf>
    <xf numFmtId="0" fontId="45" fillId="35" borderId="0" xfId="0" applyFont="1" applyFill="1" applyBorder="1" applyAlignment="1">
      <alignment/>
    </xf>
    <xf numFmtId="0" fontId="46" fillId="0" borderId="0" xfId="0" applyFont="1" applyBorder="1" applyAlignment="1">
      <alignment/>
    </xf>
    <xf numFmtId="0" fontId="46" fillId="0" borderId="0" xfId="0" applyFont="1" applyAlignment="1">
      <alignment/>
    </xf>
    <xf numFmtId="0" fontId="46" fillId="35" borderId="11" xfId="0" applyFont="1" applyFill="1" applyBorder="1" applyAlignment="1">
      <alignment horizontal="center" textRotation="90"/>
    </xf>
    <xf numFmtId="0" fontId="46" fillId="35" borderId="11" xfId="0" applyFont="1" applyFill="1" applyBorder="1" applyAlignment="1">
      <alignment horizontal="center"/>
    </xf>
    <xf numFmtId="0" fontId="46" fillId="35" borderId="49" xfId="0" applyFont="1" applyFill="1" applyBorder="1" applyAlignment="1">
      <alignment/>
    </xf>
    <xf numFmtId="0" fontId="46" fillId="0" borderId="49" xfId="0" applyFont="1" applyFill="1" applyBorder="1" applyAlignment="1">
      <alignment/>
    </xf>
    <xf numFmtId="0" fontId="46" fillId="0" borderId="49" xfId="0" applyFont="1" applyBorder="1" applyAlignment="1">
      <alignment/>
    </xf>
    <xf numFmtId="0" fontId="9" fillId="0" borderId="18" xfId="0" applyFont="1" applyBorder="1" applyAlignment="1">
      <alignment horizontal="center" wrapText="1"/>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xf>
    <xf numFmtId="0" fontId="9" fillId="0" borderId="11" xfId="0" applyFont="1" applyBorder="1" applyAlignment="1">
      <alignment horizontal="center"/>
    </xf>
    <xf numFmtId="0" fontId="9" fillId="0" borderId="19" xfId="0" applyFont="1" applyBorder="1" applyAlignment="1">
      <alignment horizontal="center"/>
    </xf>
    <xf numFmtId="0" fontId="0" fillId="36" borderId="57" xfId="0" applyFill="1" applyBorder="1" applyAlignment="1">
      <alignment/>
    </xf>
    <xf numFmtId="0" fontId="0" fillId="36" borderId="12" xfId="0" applyFill="1" applyBorder="1" applyAlignment="1">
      <alignment/>
    </xf>
    <xf numFmtId="0" fontId="0" fillId="36" borderId="49" xfId="0" applyFill="1" applyBorder="1" applyAlignment="1">
      <alignment/>
    </xf>
    <xf numFmtId="0" fontId="0" fillId="36" borderId="29" xfId="0" applyFill="1" applyBorder="1" applyAlignment="1">
      <alignment/>
    </xf>
    <xf numFmtId="0" fontId="0" fillId="36" borderId="28" xfId="0" applyFill="1" applyBorder="1" applyAlignment="1">
      <alignment/>
    </xf>
    <xf numFmtId="0" fontId="0" fillId="36" borderId="27" xfId="0" applyFill="1" applyBorder="1" applyAlignment="1">
      <alignment/>
    </xf>
    <xf numFmtId="0" fontId="9" fillId="36" borderId="49" xfId="0" applyFont="1" applyFill="1" applyBorder="1" applyAlignment="1">
      <alignment/>
    </xf>
    <xf numFmtId="0" fontId="9" fillId="36" borderId="29" xfId="0" applyFont="1" applyFill="1" applyBorder="1" applyAlignment="1">
      <alignment/>
    </xf>
    <xf numFmtId="0" fontId="0" fillId="36" borderId="26" xfId="0" applyFill="1" applyBorder="1" applyAlignment="1">
      <alignment/>
    </xf>
    <xf numFmtId="0" fontId="0" fillId="36" borderId="52" xfId="0" applyFill="1" applyBorder="1" applyAlignment="1">
      <alignment/>
    </xf>
    <xf numFmtId="0" fontId="0" fillId="36" borderId="23" xfId="0" applyFill="1" applyBorder="1" applyAlignment="1">
      <alignment/>
    </xf>
    <xf numFmtId="2" fontId="22" fillId="0" borderId="14" xfId="0" applyNumberFormat="1" applyFont="1" applyBorder="1" applyAlignment="1">
      <alignment/>
    </xf>
    <xf numFmtId="0" fontId="38" fillId="0" borderId="0" xfId="0" applyFont="1" applyAlignment="1">
      <alignment/>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57" xfId="0" applyBorder="1" applyAlignment="1">
      <alignment/>
    </xf>
    <xf numFmtId="0" fontId="0" fillId="0" borderId="13" xfId="0" applyBorder="1" applyAlignment="1">
      <alignment horizontal="center" vertical="center" wrapText="1"/>
    </xf>
    <xf numFmtId="0" fontId="0" fillId="0" borderId="64" xfId="0" applyBorder="1" applyAlignment="1">
      <alignment/>
    </xf>
    <xf numFmtId="0" fontId="0" fillId="0" borderId="15" xfId="0" applyNumberFormat="1" applyBorder="1" applyAlignment="1">
      <alignment/>
    </xf>
    <xf numFmtId="0" fontId="0" fillId="0" borderId="14" xfId="0" applyNumberFormat="1" applyBorder="1" applyAlignment="1">
      <alignment/>
    </xf>
    <xf numFmtId="0" fontId="0" fillId="37" borderId="64" xfId="0" applyFill="1" applyBorder="1" applyAlignment="1">
      <alignment/>
    </xf>
    <xf numFmtId="0" fontId="0" fillId="37" borderId="14" xfId="0" applyNumberFormat="1" applyFill="1" applyBorder="1" applyAlignment="1">
      <alignment/>
    </xf>
    <xf numFmtId="0" fontId="0" fillId="0" borderId="17" xfId="0" applyNumberFormat="1" applyBorder="1" applyAlignment="1">
      <alignment/>
    </xf>
    <xf numFmtId="0" fontId="0" fillId="0" borderId="0" xfId="0" applyNumberFormat="1" applyBorder="1" applyAlignment="1">
      <alignment/>
    </xf>
    <xf numFmtId="2" fontId="0" fillId="0" borderId="0" xfId="0" applyNumberFormat="1" applyBorder="1" applyAlignment="1">
      <alignment/>
    </xf>
    <xf numFmtId="1" fontId="0" fillId="0" borderId="28" xfId="0" applyNumberFormat="1" applyBorder="1" applyAlignment="1">
      <alignment/>
    </xf>
    <xf numFmtId="0" fontId="0" fillId="0" borderId="0" xfId="0" applyNumberFormat="1" applyAlignment="1">
      <alignment/>
    </xf>
    <xf numFmtId="17" fontId="0" fillId="0" borderId="0" xfId="0" applyNumberFormat="1" applyAlignment="1">
      <alignment/>
    </xf>
    <xf numFmtId="0" fontId="1" fillId="0" borderId="57" xfId="0" applyFont="1" applyBorder="1" applyAlignment="1">
      <alignment horizontal="center" wrapText="1"/>
    </xf>
    <xf numFmtId="0" fontId="1" fillId="0" borderId="24" xfId="0" applyFont="1" applyBorder="1" applyAlignment="1">
      <alignment horizontal="center"/>
    </xf>
    <xf numFmtId="0" fontId="1" fillId="0" borderId="11" xfId="0" applyFont="1" applyBorder="1" applyAlignment="1">
      <alignment horizontal="center"/>
    </xf>
    <xf numFmtId="9" fontId="1" fillId="0" borderId="26" xfId="0" applyNumberFormat="1" applyFont="1" applyBorder="1" applyAlignment="1">
      <alignment horizontal="center"/>
    </xf>
    <xf numFmtId="10" fontId="1" fillId="0" borderId="26" xfId="0" applyNumberFormat="1" applyFont="1" applyBorder="1" applyAlignment="1">
      <alignment horizontal="center"/>
    </xf>
    <xf numFmtId="0" fontId="1" fillId="0" borderId="36" xfId="0" applyFont="1" applyBorder="1" applyAlignment="1">
      <alignment/>
    </xf>
    <xf numFmtId="17" fontId="1" fillId="0" borderId="13" xfId="0" applyNumberFormat="1" applyFont="1" applyBorder="1" applyAlignment="1">
      <alignment/>
    </xf>
    <xf numFmtId="1" fontId="1" fillId="0" borderId="13" xfId="0" applyNumberFormat="1" applyFont="1" applyBorder="1" applyAlignment="1">
      <alignment/>
    </xf>
    <xf numFmtId="2" fontId="1" fillId="0" borderId="37" xfId="0" applyNumberFormat="1" applyFont="1" applyBorder="1" applyAlignment="1">
      <alignment/>
    </xf>
    <xf numFmtId="0" fontId="1" fillId="0" borderId="36" xfId="0" applyFont="1" applyBorder="1" applyAlignment="1">
      <alignment horizontal="left"/>
    </xf>
    <xf numFmtId="0" fontId="1" fillId="0" borderId="13" xfId="0" applyFont="1" applyBorder="1" applyAlignment="1">
      <alignment horizontal="left"/>
    </xf>
    <xf numFmtId="197" fontId="1" fillId="0" borderId="13" xfId="49" applyNumberFormat="1" applyFont="1" applyBorder="1" applyAlignment="1">
      <alignment/>
    </xf>
    <xf numFmtId="197" fontId="1" fillId="0" borderId="37" xfId="0" applyNumberFormat="1" applyFont="1" applyBorder="1" applyAlignment="1">
      <alignment/>
    </xf>
    <xf numFmtId="0" fontId="1" fillId="0" borderId="14" xfId="0" applyFont="1" applyBorder="1" applyAlignment="1">
      <alignment horizontal="left"/>
    </xf>
    <xf numFmtId="0" fontId="1" fillId="0" borderId="38" xfId="0" applyFont="1" applyBorder="1" applyAlignment="1">
      <alignment/>
    </xf>
    <xf numFmtId="17" fontId="1" fillId="0" borderId="14" xfId="0" applyNumberFormat="1" applyFont="1" applyBorder="1" applyAlignment="1">
      <alignment/>
    </xf>
    <xf numFmtId="0" fontId="1" fillId="0" borderId="38" xfId="0" applyFont="1" applyBorder="1" applyAlignment="1">
      <alignment horizontal="left"/>
    </xf>
    <xf numFmtId="197" fontId="1" fillId="0" borderId="14" xfId="49" applyNumberFormat="1" applyFont="1" applyBorder="1" applyAlignment="1">
      <alignment/>
    </xf>
    <xf numFmtId="197" fontId="1" fillId="0" borderId="39" xfId="0" applyNumberFormat="1" applyFont="1" applyBorder="1" applyAlignment="1">
      <alignment/>
    </xf>
    <xf numFmtId="9" fontId="1" fillId="0" borderId="14" xfId="0" applyNumberFormat="1" applyFont="1" applyBorder="1" applyAlignment="1">
      <alignment horizontal="left"/>
    </xf>
    <xf numFmtId="0" fontId="1" fillId="0" borderId="65" xfId="0" applyFont="1" applyBorder="1" applyAlignment="1">
      <alignment/>
    </xf>
    <xf numFmtId="0" fontId="1" fillId="0" borderId="66" xfId="0" applyFont="1" applyBorder="1" applyAlignment="1">
      <alignment/>
    </xf>
    <xf numFmtId="17" fontId="1" fillId="0" borderId="66" xfId="0" applyNumberFormat="1" applyFont="1" applyBorder="1" applyAlignment="1">
      <alignment/>
    </xf>
    <xf numFmtId="1" fontId="1" fillId="0" borderId="66" xfId="0" applyNumberFormat="1" applyFont="1" applyBorder="1" applyAlignment="1">
      <alignment/>
    </xf>
    <xf numFmtId="2" fontId="1" fillId="0" borderId="66" xfId="0" applyNumberFormat="1" applyFont="1" applyBorder="1" applyAlignment="1">
      <alignment/>
    </xf>
    <xf numFmtId="2" fontId="1" fillId="0" borderId="67" xfId="0" applyNumberFormat="1" applyFont="1" applyBorder="1" applyAlignment="1">
      <alignment/>
    </xf>
    <xf numFmtId="0" fontId="1" fillId="0" borderId="68" xfId="0" applyFont="1" applyBorder="1" applyAlignment="1">
      <alignment/>
    </xf>
    <xf numFmtId="0" fontId="1" fillId="0" borderId="62" xfId="0" applyFont="1" applyBorder="1" applyAlignment="1">
      <alignment/>
    </xf>
    <xf numFmtId="17" fontId="1" fillId="0" borderId="62" xfId="0" applyNumberFormat="1" applyFont="1" applyBorder="1" applyAlignment="1">
      <alignment/>
    </xf>
    <xf numFmtId="1" fontId="1" fillId="0" borderId="62" xfId="0" applyNumberFormat="1" applyFont="1" applyBorder="1" applyAlignment="1">
      <alignment/>
    </xf>
    <xf numFmtId="2" fontId="1" fillId="0" borderId="62" xfId="0" applyNumberFormat="1" applyFont="1" applyBorder="1" applyAlignment="1">
      <alignment/>
    </xf>
    <xf numFmtId="2" fontId="1" fillId="0" borderId="63" xfId="0" applyNumberFormat="1" applyFont="1" applyBorder="1" applyAlignment="1">
      <alignment/>
    </xf>
    <xf numFmtId="10" fontId="1" fillId="0" borderId="14" xfId="0" applyNumberFormat="1" applyFont="1" applyBorder="1" applyAlignment="1">
      <alignment/>
    </xf>
    <xf numFmtId="0" fontId="1" fillId="0" borderId="12" xfId="0" applyFont="1" applyBorder="1" applyAlignment="1">
      <alignment horizontal="center"/>
    </xf>
    <xf numFmtId="0" fontId="1" fillId="0" borderId="11" xfId="0" applyFont="1" applyBorder="1" applyAlignment="1">
      <alignment horizontal="center" vertical="center" wrapText="1"/>
    </xf>
    <xf numFmtId="0" fontId="1" fillId="0" borderId="23" xfId="0" applyFont="1" applyBorder="1" applyAlignment="1">
      <alignment horizontal="center"/>
    </xf>
    <xf numFmtId="9" fontId="1" fillId="0" borderId="23" xfId="0" applyNumberFormat="1" applyFont="1" applyBorder="1" applyAlignment="1">
      <alignment horizontal="center"/>
    </xf>
    <xf numFmtId="0" fontId="1" fillId="0" borderId="26" xfId="0" applyFont="1" applyBorder="1" applyAlignment="1">
      <alignment/>
    </xf>
    <xf numFmtId="10" fontId="1" fillId="0" borderId="26" xfId="0" applyNumberFormat="1" applyFont="1" applyBorder="1" applyAlignment="1">
      <alignment/>
    </xf>
    <xf numFmtId="0" fontId="1" fillId="0" borderId="25" xfId="0" applyFont="1" applyBorder="1" applyAlignment="1">
      <alignment horizontal="center"/>
    </xf>
    <xf numFmtId="0" fontId="22" fillId="0" borderId="38" xfId="0" applyFont="1" applyBorder="1" applyAlignment="1">
      <alignment/>
    </xf>
    <xf numFmtId="197" fontId="22" fillId="0" borderId="14" xfId="49" applyNumberFormat="1" applyFont="1" applyBorder="1" applyAlignment="1">
      <alignment/>
    </xf>
    <xf numFmtId="197" fontId="0" fillId="0" borderId="39" xfId="0" applyNumberFormat="1" applyBorder="1" applyAlignment="1">
      <alignment/>
    </xf>
    <xf numFmtId="197" fontId="0" fillId="0" borderId="14" xfId="49" applyNumberFormat="1" applyFont="1" applyBorder="1" applyAlignment="1">
      <alignment/>
    </xf>
    <xf numFmtId="0" fontId="1" fillId="0" borderId="16" xfId="0" applyFont="1" applyBorder="1" applyAlignment="1">
      <alignment/>
    </xf>
    <xf numFmtId="0" fontId="1" fillId="0" borderId="44" xfId="0" applyFont="1" applyBorder="1" applyAlignment="1">
      <alignment/>
    </xf>
    <xf numFmtId="2" fontId="0" fillId="0" borderId="11" xfId="0" applyNumberFormat="1" applyBorder="1" applyAlignment="1">
      <alignment/>
    </xf>
    <xf numFmtId="0" fontId="22" fillId="0" borderId="69" xfId="0" applyFont="1" applyBorder="1" applyAlignment="1">
      <alignment/>
    </xf>
    <xf numFmtId="0" fontId="22" fillId="0" borderId="70" xfId="0" applyFont="1" applyBorder="1" applyAlignment="1">
      <alignment/>
    </xf>
    <xf numFmtId="197" fontId="22" fillId="0" borderId="70" xfId="49" applyNumberFormat="1" applyFont="1" applyBorder="1" applyAlignment="1">
      <alignment/>
    </xf>
    <xf numFmtId="197" fontId="22" fillId="0" borderId="71" xfId="0" applyNumberFormat="1" applyFont="1" applyBorder="1" applyAlignment="1">
      <alignment/>
    </xf>
    <xf numFmtId="0" fontId="22" fillId="0" borderId="44" xfId="0" applyFont="1" applyBorder="1" applyAlignment="1">
      <alignment/>
    </xf>
    <xf numFmtId="197" fontId="22" fillId="0" borderId="11" xfId="49" applyNumberFormat="1" applyFont="1" applyBorder="1" applyAlignment="1">
      <alignment/>
    </xf>
    <xf numFmtId="197" fontId="1" fillId="0" borderId="19" xfId="0" applyNumberFormat="1" applyFont="1" applyBorder="1" applyAlignment="1">
      <alignment/>
    </xf>
    <xf numFmtId="0" fontId="0" fillId="0" borderId="72" xfId="0" applyBorder="1" applyAlignment="1">
      <alignment/>
    </xf>
    <xf numFmtId="2" fontId="0" fillId="0" borderId="61" xfId="0" applyNumberFormat="1" applyBorder="1" applyAlignment="1">
      <alignment/>
    </xf>
    <xf numFmtId="0" fontId="0" fillId="0" borderId="29" xfId="0" applyBorder="1" applyAlignment="1">
      <alignment/>
    </xf>
    <xf numFmtId="10" fontId="1" fillId="0" borderId="13" xfId="0" applyNumberFormat="1" applyFont="1" applyBorder="1" applyAlignment="1">
      <alignment/>
    </xf>
    <xf numFmtId="0" fontId="0" fillId="0" borderId="73" xfId="0" applyBorder="1" applyAlignment="1">
      <alignment/>
    </xf>
    <xf numFmtId="0" fontId="37" fillId="0" borderId="14" xfId="0" applyFont="1" applyBorder="1" applyAlignment="1">
      <alignment wrapText="1"/>
    </xf>
    <xf numFmtId="10" fontId="37" fillId="0" borderId="14" xfId="0" applyNumberFormat="1" applyFont="1" applyBorder="1" applyAlignment="1">
      <alignment/>
    </xf>
    <xf numFmtId="2" fontId="38" fillId="0" borderId="14" xfId="0" applyNumberFormat="1" applyFont="1" applyBorder="1" applyAlignment="1">
      <alignment/>
    </xf>
    <xf numFmtId="0" fontId="38" fillId="0" borderId="14" xfId="0" applyFont="1" applyBorder="1" applyAlignment="1">
      <alignment/>
    </xf>
    <xf numFmtId="0" fontId="0" fillId="0" borderId="32" xfId="0" applyBorder="1" applyAlignment="1">
      <alignment/>
    </xf>
    <xf numFmtId="0" fontId="0" fillId="0" borderId="33" xfId="0" applyBorder="1" applyAlignment="1">
      <alignment/>
    </xf>
    <xf numFmtId="0" fontId="0" fillId="0" borderId="18" xfId="0" applyBorder="1" applyAlignment="1">
      <alignment/>
    </xf>
    <xf numFmtId="10" fontId="0" fillId="0" borderId="14" xfId="0" applyNumberFormat="1" applyBorder="1" applyAlignment="1">
      <alignment/>
    </xf>
    <xf numFmtId="17" fontId="0" fillId="0" borderId="14" xfId="0" applyNumberFormat="1" applyBorder="1" applyAlignment="1">
      <alignment/>
    </xf>
    <xf numFmtId="17" fontId="0" fillId="0" borderId="66" xfId="0" applyNumberFormat="1" applyBorder="1" applyAlignment="1">
      <alignment/>
    </xf>
    <xf numFmtId="2" fontId="0" fillId="0" borderId="66" xfId="0" applyNumberFormat="1" applyBorder="1" applyAlignment="1">
      <alignment/>
    </xf>
    <xf numFmtId="0" fontId="0" fillId="0" borderId="66" xfId="0" applyBorder="1" applyAlignment="1">
      <alignment/>
    </xf>
    <xf numFmtId="17" fontId="0" fillId="0" borderId="13" xfId="0" applyNumberFormat="1" applyBorder="1" applyAlignment="1">
      <alignment/>
    </xf>
    <xf numFmtId="10" fontId="0" fillId="0" borderId="0" xfId="0" applyNumberFormat="1" applyAlignment="1">
      <alignment/>
    </xf>
    <xf numFmtId="0" fontId="1" fillId="0" borderId="26" xfId="0" applyFont="1" applyBorder="1" applyAlignment="1">
      <alignment horizontal="center" wrapText="1"/>
    </xf>
    <xf numFmtId="0" fontId="1" fillId="0" borderId="63" xfId="0" applyFont="1" applyBorder="1" applyAlignment="1">
      <alignment/>
    </xf>
    <xf numFmtId="0" fontId="43" fillId="0" borderId="11" xfId="0" applyFont="1" applyBorder="1" applyAlignment="1">
      <alignment/>
    </xf>
    <xf numFmtId="0" fontId="43" fillId="0" borderId="20" xfId="0" applyFont="1" applyBorder="1" applyAlignment="1">
      <alignment horizontal="center"/>
    </xf>
    <xf numFmtId="0" fontId="43" fillId="0" borderId="11" xfId="0" applyFont="1" applyBorder="1" applyAlignment="1">
      <alignment horizontal="center"/>
    </xf>
    <xf numFmtId="0" fontId="43" fillId="0" borderId="19" xfId="0" applyFont="1" applyBorder="1" applyAlignment="1">
      <alignment horizontal="center"/>
    </xf>
    <xf numFmtId="0" fontId="9" fillId="0" borderId="28" xfId="0" applyFont="1" applyBorder="1" applyAlignment="1">
      <alignment/>
    </xf>
    <xf numFmtId="0" fontId="0" fillId="0" borderId="0" xfId="0" applyFont="1" applyBorder="1" applyAlignment="1">
      <alignment/>
    </xf>
    <xf numFmtId="0" fontId="0" fillId="0" borderId="28" xfId="0" applyFont="1" applyBorder="1" applyAlignment="1">
      <alignment/>
    </xf>
    <xf numFmtId="0" fontId="0" fillId="0" borderId="74" xfId="0" applyFont="1" applyBorder="1" applyAlignment="1">
      <alignment/>
    </xf>
    <xf numFmtId="0" fontId="48" fillId="0" borderId="49" xfId="0" applyFont="1" applyBorder="1" applyAlignment="1">
      <alignment/>
    </xf>
    <xf numFmtId="0" fontId="0" fillId="0" borderId="30"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77" xfId="0" applyFont="1" applyBorder="1" applyAlignment="1">
      <alignment/>
    </xf>
    <xf numFmtId="0" fontId="48" fillId="0" borderId="59" xfId="0" applyFont="1" applyBorder="1" applyAlignment="1">
      <alignment/>
    </xf>
    <xf numFmtId="0" fontId="0" fillId="0" borderId="10" xfId="0" applyFont="1" applyBorder="1" applyAlignment="1">
      <alignment/>
    </xf>
    <xf numFmtId="0" fontId="0" fillId="0" borderId="59" xfId="0" applyFont="1" applyBorder="1" applyAlignment="1">
      <alignment/>
    </xf>
    <xf numFmtId="0" fontId="0" fillId="0" borderId="78" xfId="0" applyFont="1" applyBorder="1" applyAlignment="1">
      <alignment/>
    </xf>
    <xf numFmtId="0" fontId="9" fillId="0" borderId="0" xfId="0" applyFont="1" applyBorder="1" applyAlignment="1">
      <alignment/>
    </xf>
    <xf numFmtId="0" fontId="9" fillId="0" borderId="74" xfId="0" applyFont="1" applyBorder="1" applyAlignment="1">
      <alignment/>
    </xf>
    <xf numFmtId="0" fontId="48" fillId="0" borderId="28" xfId="0" applyFont="1" applyBorder="1" applyAlignment="1">
      <alignment/>
    </xf>
    <xf numFmtId="0" fontId="9" fillId="0" borderId="11" xfId="0" applyFont="1" applyBorder="1" applyAlignment="1">
      <alignment/>
    </xf>
    <xf numFmtId="0" fontId="9" fillId="0" borderId="20" xfId="0" applyFont="1" applyBorder="1" applyAlignment="1">
      <alignment/>
    </xf>
    <xf numFmtId="0" fontId="9" fillId="0" borderId="19" xfId="0" applyFont="1" applyBorder="1" applyAlignment="1">
      <alignment/>
    </xf>
    <xf numFmtId="168" fontId="9" fillId="0" borderId="20" xfId="0" applyNumberFormat="1" applyFont="1" applyBorder="1" applyAlignment="1">
      <alignment/>
    </xf>
    <xf numFmtId="0" fontId="0" fillId="0" borderId="74" xfId="0" applyBorder="1" applyAlignment="1">
      <alignment/>
    </xf>
    <xf numFmtId="0" fontId="0" fillId="0" borderId="50"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47" fillId="0" borderId="0" xfId="0" applyFont="1" applyBorder="1" applyAlignment="1">
      <alignment/>
    </xf>
    <xf numFmtId="0" fontId="47" fillId="0" borderId="28" xfId="0" applyFont="1" applyBorder="1" applyAlignment="1">
      <alignment/>
    </xf>
    <xf numFmtId="0" fontId="47" fillId="0" borderId="74" xfId="0" applyFont="1" applyBorder="1" applyAlignment="1">
      <alignment/>
    </xf>
    <xf numFmtId="0" fontId="47" fillId="0" borderId="20" xfId="0" applyFont="1" applyBorder="1" applyAlignment="1">
      <alignment/>
    </xf>
    <xf numFmtId="0" fontId="47" fillId="0" borderId="11" xfId="0" applyFont="1" applyBorder="1" applyAlignment="1">
      <alignment/>
    </xf>
    <xf numFmtId="0" fontId="47" fillId="0" borderId="19"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19" xfId="0" applyFont="1" applyBorder="1" applyAlignment="1">
      <alignment/>
    </xf>
    <xf numFmtId="2" fontId="0" fillId="40" borderId="14" xfId="0" applyNumberFormat="1" applyFill="1" applyBorder="1" applyAlignment="1">
      <alignment/>
    </xf>
    <xf numFmtId="0" fontId="0" fillId="40" borderId="14" xfId="0" applyFill="1" applyBorder="1" applyAlignment="1">
      <alignment/>
    </xf>
    <xf numFmtId="2" fontId="9" fillId="40" borderId="14" xfId="0" applyNumberFormat="1" applyFont="1" applyFill="1" applyBorder="1" applyAlignment="1">
      <alignment/>
    </xf>
    <xf numFmtId="0" fontId="1" fillId="36" borderId="57" xfId="0" applyFont="1" applyFill="1" applyBorder="1" applyAlignment="1">
      <alignment/>
    </xf>
    <xf numFmtId="0" fontId="18" fillId="36" borderId="57" xfId="0" applyFont="1" applyFill="1" applyBorder="1" applyAlignment="1">
      <alignment horizontal="center" wrapText="1"/>
    </xf>
    <xf numFmtId="0" fontId="22" fillId="36" borderId="14" xfId="0" applyFont="1" applyFill="1" applyBorder="1" applyAlignment="1">
      <alignment horizontal="center"/>
    </xf>
    <xf numFmtId="192" fontId="1" fillId="36" borderId="14" xfId="0" applyNumberFormat="1" applyFont="1" applyFill="1" applyBorder="1" applyAlignment="1">
      <alignment/>
    </xf>
    <xf numFmtId="192" fontId="22" fillId="36" borderId="14" xfId="0" applyNumberFormat="1" applyFont="1" applyFill="1" applyBorder="1" applyAlignment="1">
      <alignment/>
    </xf>
    <xf numFmtId="206" fontId="1" fillId="36" borderId="14" xfId="0" applyNumberFormat="1" applyFont="1" applyFill="1" applyBorder="1" applyAlignment="1">
      <alignment/>
    </xf>
    <xf numFmtId="206" fontId="22" fillId="36" borderId="14" xfId="0" applyNumberFormat="1" applyFont="1" applyFill="1" applyBorder="1" applyAlignment="1">
      <alignment/>
    </xf>
    <xf numFmtId="214" fontId="22" fillId="36" borderId="19" xfId="0" applyNumberFormat="1" applyFont="1" applyFill="1" applyBorder="1" applyAlignment="1">
      <alignment/>
    </xf>
    <xf numFmtId="192" fontId="9" fillId="36" borderId="0" xfId="0" applyNumberFormat="1" applyFont="1" applyFill="1" applyAlignment="1">
      <alignment/>
    </xf>
    <xf numFmtId="10" fontId="9" fillId="36" borderId="0" xfId="54" applyNumberFormat="1" applyFont="1" applyFill="1" applyAlignment="1">
      <alignment/>
    </xf>
    <xf numFmtId="204" fontId="1" fillId="36" borderId="14" xfId="0" applyNumberFormat="1" applyFont="1" applyFill="1" applyBorder="1" applyAlignment="1">
      <alignment/>
    </xf>
    <xf numFmtId="10" fontId="1" fillId="0" borderId="14" xfId="52" applyNumberFormat="1" applyFont="1" applyBorder="1" applyAlignment="1">
      <alignment horizontal="right"/>
      <protection/>
    </xf>
    <xf numFmtId="214" fontId="1" fillId="36" borderId="14" xfId="0" applyNumberFormat="1" applyFont="1" applyFill="1" applyBorder="1" applyAlignment="1">
      <alignment/>
    </xf>
    <xf numFmtId="0" fontId="0" fillId="35" borderId="12"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7" xfId="0" applyFill="1" applyBorder="1" applyAlignment="1">
      <alignment/>
    </xf>
    <xf numFmtId="0" fontId="0" fillId="35" borderId="0" xfId="0" applyFill="1" applyBorder="1" applyAlignment="1">
      <alignment/>
    </xf>
    <xf numFmtId="0" fontId="0" fillId="35" borderId="74"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5" xfId="0" applyFill="1" applyBorder="1" applyAlignment="1">
      <alignment/>
    </xf>
    <xf numFmtId="0" fontId="25" fillId="34" borderId="57" xfId="0" applyFont="1" applyFill="1" applyBorder="1" applyAlignment="1">
      <alignment horizontal="center"/>
    </xf>
    <xf numFmtId="0" fontId="25" fillId="34" borderId="26" xfId="0" applyFont="1" applyFill="1" applyBorder="1" applyAlignment="1">
      <alignment horizontal="center"/>
    </xf>
    <xf numFmtId="44" fontId="1" fillId="0" borderId="15" xfId="49" applyFont="1" applyBorder="1" applyAlignment="1">
      <alignment/>
    </xf>
    <xf numFmtId="0" fontId="0" fillId="0" borderId="15" xfId="0" applyFont="1" applyBorder="1" applyAlignment="1">
      <alignment/>
    </xf>
    <xf numFmtId="222" fontId="22" fillId="0" borderId="15" xfId="49" applyNumberFormat="1" applyFont="1" applyBorder="1" applyAlignment="1">
      <alignment/>
    </xf>
    <xf numFmtId="222" fontId="22" fillId="0" borderId="15" xfId="49" applyNumberFormat="1" applyFont="1" applyFill="1" applyBorder="1" applyAlignment="1">
      <alignment/>
    </xf>
    <xf numFmtId="0" fontId="22" fillId="0" borderId="16" xfId="52" applyFont="1" applyBorder="1" applyAlignment="1">
      <alignment/>
      <protection/>
    </xf>
    <xf numFmtId="0" fontId="22" fillId="0" borderId="20" xfId="52" applyFont="1" applyBorder="1" applyAlignment="1">
      <alignment/>
      <protection/>
    </xf>
    <xf numFmtId="0" fontId="1" fillId="0" borderId="20" xfId="52" applyFont="1" applyBorder="1" applyAlignment="1">
      <alignment/>
      <protection/>
    </xf>
    <xf numFmtId="0" fontId="0" fillId="0" borderId="20" xfId="0" applyFont="1" applyBorder="1" applyAlignment="1">
      <alignment/>
    </xf>
    <xf numFmtId="222" fontId="22" fillId="0" borderId="20" xfId="49" applyNumberFormat="1" applyFont="1" applyBorder="1" applyAlignment="1">
      <alignment/>
    </xf>
    <xf numFmtId="222" fontId="22" fillId="0" borderId="20" xfId="49" applyNumberFormat="1" applyFont="1" applyFill="1" applyBorder="1" applyAlignment="1">
      <alignment/>
    </xf>
    <xf numFmtId="222" fontId="22" fillId="0" borderId="19" xfId="49" applyNumberFormat="1" applyFont="1" applyFill="1" applyBorder="1" applyAlignment="1">
      <alignment/>
    </xf>
    <xf numFmtId="0" fontId="33" fillId="0" borderId="16" xfId="52" applyFont="1" applyBorder="1" applyAlignment="1">
      <alignment horizontal="center"/>
      <protection/>
    </xf>
    <xf numFmtId="0" fontId="33" fillId="0" borderId="20" xfId="52" applyFont="1" applyBorder="1" applyAlignment="1">
      <alignment horizontal="center"/>
      <protection/>
    </xf>
    <xf numFmtId="0" fontId="34" fillId="0" borderId="20" xfId="0" applyFont="1" applyBorder="1" applyAlignment="1">
      <alignment/>
    </xf>
    <xf numFmtId="222" fontId="22" fillId="0" borderId="19" xfId="49" applyNumberFormat="1" applyFont="1" applyBorder="1" applyAlignment="1">
      <alignment/>
    </xf>
    <xf numFmtId="0" fontId="1" fillId="0" borderId="13" xfId="0" applyFont="1" applyFill="1" applyBorder="1" applyAlignment="1">
      <alignment horizontal="right"/>
    </xf>
    <xf numFmtId="192" fontId="0" fillId="0" borderId="14" xfId="0" applyNumberFormat="1" applyFont="1" applyFill="1" applyBorder="1" applyAlignment="1">
      <alignment horizontal="left"/>
    </xf>
    <xf numFmtId="10" fontId="1" fillId="0" borderId="14" xfId="52" applyNumberFormat="1" applyFont="1" applyFill="1" applyBorder="1" applyAlignment="1">
      <alignment horizontal="center"/>
      <protection/>
    </xf>
    <xf numFmtId="0" fontId="22" fillId="0" borderId="57" xfId="52" applyFont="1" applyFill="1" applyBorder="1" applyAlignment="1">
      <alignment horizontal="center"/>
      <protection/>
    </xf>
    <xf numFmtId="0" fontId="22" fillId="0" borderId="18" xfId="52" applyFont="1" applyFill="1" applyBorder="1" applyAlignment="1">
      <alignment horizontal="center"/>
      <protection/>
    </xf>
    <xf numFmtId="0" fontId="32" fillId="0" borderId="20" xfId="52" applyFont="1" applyFill="1" applyBorder="1" applyAlignment="1">
      <alignment horizontal="center"/>
      <protection/>
    </xf>
    <xf numFmtId="190" fontId="36" fillId="0" borderId="19" xfId="48" applyNumberFormat="1" applyFont="1" applyFill="1" applyBorder="1" applyAlignment="1">
      <alignment horizontal="center"/>
    </xf>
    <xf numFmtId="10" fontId="0" fillId="0" borderId="0" xfId="54" applyNumberFormat="1" applyFont="1" applyAlignment="1">
      <alignment/>
    </xf>
    <xf numFmtId="0" fontId="1" fillId="34" borderId="57" xfId="0" applyFont="1" applyFill="1" applyBorder="1" applyAlignment="1">
      <alignment horizontal="center"/>
    </xf>
    <xf numFmtId="0" fontId="1" fillId="34" borderId="57" xfId="0" applyFont="1" applyFill="1" applyBorder="1" applyAlignment="1">
      <alignment horizontal="center" vertical="justify"/>
    </xf>
    <xf numFmtId="0" fontId="1" fillId="34" borderId="28" xfId="0" applyFont="1" applyFill="1" applyBorder="1" applyAlignment="1">
      <alignment horizontal="center"/>
    </xf>
    <xf numFmtId="0" fontId="1" fillId="34" borderId="28" xfId="0" applyFont="1" applyFill="1" applyBorder="1" applyAlignment="1">
      <alignment horizontal="center" vertical="justify"/>
    </xf>
    <xf numFmtId="0" fontId="1" fillId="34" borderId="26" xfId="0" applyFont="1" applyFill="1" applyBorder="1" applyAlignment="1">
      <alignment horizontal="center"/>
    </xf>
    <xf numFmtId="0" fontId="1" fillId="34" borderId="26" xfId="0" applyFont="1" applyFill="1" applyBorder="1" applyAlignment="1">
      <alignment horizontal="center" vertical="justify"/>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0" xfId="0" applyFont="1" applyFill="1" applyBorder="1" applyAlignment="1">
      <alignment horizontal="center"/>
    </xf>
    <xf numFmtId="0" fontId="1" fillId="34" borderId="74" xfId="0" applyFont="1" applyFill="1" applyBorder="1" applyAlignment="1">
      <alignment horizontal="center"/>
    </xf>
    <xf numFmtId="0" fontId="0" fillId="34" borderId="0" xfId="0" applyFill="1" applyAlignment="1">
      <alignment/>
    </xf>
    <xf numFmtId="0" fontId="9" fillId="34" borderId="0" xfId="0" applyFont="1" applyFill="1" applyAlignment="1">
      <alignment/>
    </xf>
    <xf numFmtId="0" fontId="0" fillId="0" borderId="19" xfId="0" applyBorder="1" applyAlignment="1">
      <alignment/>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0" borderId="12" xfId="0" applyFont="1" applyBorder="1" applyAlignment="1">
      <alignment horizontal="center" vertical="center"/>
    </xf>
    <xf numFmtId="0" fontId="0" fillId="0" borderId="23" xfId="0" applyBorder="1" applyAlignment="1">
      <alignment horizontal="center" vertical="center"/>
    </xf>
    <xf numFmtId="10" fontId="1" fillId="0" borderId="14" xfId="52" applyNumberFormat="1" applyFont="1" applyBorder="1" applyAlignment="1">
      <alignment horizontal="center"/>
      <protection/>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0" fontId="1" fillId="0" borderId="26" xfId="0" applyNumberFormat="1" applyFont="1" applyFill="1" applyBorder="1" applyAlignment="1">
      <alignment horizontal="center"/>
    </xf>
    <xf numFmtId="2" fontId="1" fillId="0" borderId="0" xfId="0" applyNumberFormat="1" applyFont="1" applyBorder="1" applyAlignment="1">
      <alignment/>
    </xf>
    <xf numFmtId="2" fontId="1" fillId="0" borderId="74" xfId="0" applyNumberFormat="1" applyFont="1" applyBorder="1" applyAlignment="1">
      <alignment/>
    </xf>
    <xf numFmtId="0" fontId="1" fillId="0" borderId="57" xfId="0" applyFont="1" applyBorder="1" applyAlignment="1">
      <alignment/>
    </xf>
    <xf numFmtId="0" fontId="1" fillId="0" borderId="26" xfId="0" applyFont="1" applyBorder="1" applyAlignment="1">
      <alignment/>
    </xf>
    <xf numFmtId="2" fontId="1" fillId="0" borderId="79" xfId="0" applyNumberFormat="1" applyFont="1" applyBorder="1" applyAlignment="1">
      <alignment/>
    </xf>
    <xf numFmtId="2" fontId="1" fillId="0" borderId="80" xfId="0" applyNumberFormat="1" applyFont="1" applyBorder="1" applyAlignment="1">
      <alignment/>
    </xf>
    <xf numFmtId="0" fontId="0" fillId="0" borderId="15" xfId="0" applyBorder="1" applyAlignment="1">
      <alignment/>
    </xf>
    <xf numFmtId="0" fontId="0" fillId="0" borderId="11" xfId="0" applyBorder="1" applyAlignment="1">
      <alignment/>
    </xf>
    <xf numFmtId="0" fontId="1" fillId="0" borderId="57" xfId="0" applyFont="1" applyFill="1" applyBorder="1" applyAlignment="1">
      <alignment horizontal="center" wrapText="1" shrinkToFit="1"/>
    </xf>
    <xf numFmtId="0" fontId="0" fillId="0" borderId="26" xfId="0" applyBorder="1" applyAlignment="1">
      <alignment horizontal="center" wrapText="1" shrinkToFit="1"/>
    </xf>
    <xf numFmtId="0" fontId="1" fillId="0" borderId="57" xfId="0" applyFont="1" applyFill="1" applyBorder="1" applyAlignment="1">
      <alignment horizontal="center"/>
    </xf>
    <xf numFmtId="0" fontId="9" fillId="0" borderId="1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2" fontId="0" fillId="0" borderId="14" xfId="0" applyNumberFormat="1" applyBorder="1" applyAlignment="1">
      <alignment horizontal="center" vertical="center" wrapText="1"/>
    </xf>
    <xf numFmtId="2" fontId="0" fillId="33" borderId="14" xfId="0" applyNumberFormat="1" applyFill="1" applyBorder="1" applyAlignment="1">
      <alignment/>
    </xf>
    <xf numFmtId="0" fontId="0" fillId="0" borderId="14" xfId="0" applyFill="1" applyBorder="1" applyAlignment="1">
      <alignment/>
    </xf>
    <xf numFmtId="0" fontId="0" fillId="0" borderId="0" xfId="0" applyFill="1" applyBorder="1" applyAlignment="1">
      <alignment/>
    </xf>
    <xf numFmtId="0" fontId="52" fillId="36" borderId="0" xfId="0" applyFont="1" applyFill="1" applyBorder="1" applyAlignment="1">
      <alignment/>
    </xf>
    <xf numFmtId="2" fontId="52" fillId="36" borderId="0" xfId="0" applyNumberFormat="1" applyFont="1" applyFill="1" applyBorder="1" applyAlignment="1">
      <alignment/>
    </xf>
    <xf numFmtId="0" fontId="52" fillId="36" borderId="0" xfId="0" applyFont="1" applyFill="1" applyAlignment="1">
      <alignment/>
    </xf>
    <xf numFmtId="0" fontId="52" fillId="36" borderId="0" xfId="0" applyFont="1" applyFill="1" applyAlignment="1">
      <alignment horizontal="center"/>
    </xf>
    <xf numFmtId="2" fontId="52" fillId="36" borderId="0" xfId="0" applyNumberFormat="1" applyFont="1" applyFill="1" applyAlignment="1">
      <alignment/>
    </xf>
    <xf numFmtId="2" fontId="9" fillId="0" borderId="14" xfId="0" applyNumberFormat="1" applyFont="1" applyBorder="1" applyAlignment="1">
      <alignment/>
    </xf>
    <xf numFmtId="2" fontId="9" fillId="36" borderId="14" xfId="0" applyNumberFormat="1" applyFont="1" applyFill="1" applyBorder="1" applyAlignment="1">
      <alignment/>
    </xf>
    <xf numFmtId="2" fontId="9" fillId="33" borderId="14" xfId="0" applyNumberFormat="1" applyFont="1" applyFill="1" applyBorder="1" applyAlignment="1">
      <alignment/>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3" xfId="0" applyFont="1" applyBorder="1" applyAlignment="1">
      <alignment/>
    </xf>
    <xf numFmtId="9" fontId="0" fillId="0" borderId="14" xfId="0" applyNumberFormat="1" applyFont="1" applyBorder="1" applyAlignment="1">
      <alignment/>
    </xf>
    <xf numFmtId="10" fontId="0" fillId="0" borderId="13" xfId="0" applyNumberFormat="1" applyFont="1" applyBorder="1" applyAlignment="1">
      <alignment/>
    </xf>
    <xf numFmtId="0" fontId="0" fillId="0" borderId="14" xfId="0" applyFont="1" applyBorder="1" applyAlignment="1">
      <alignment/>
    </xf>
    <xf numFmtId="10" fontId="0" fillId="0" borderId="14" xfId="0" applyNumberFormat="1" applyFont="1" applyBorder="1" applyAlignment="1">
      <alignment/>
    </xf>
    <xf numFmtId="9" fontId="0" fillId="0" borderId="15" xfId="0" applyNumberFormat="1" applyFont="1" applyBorder="1" applyAlignment="1">
      <alignment/>
    </xf>
    <xf numFmtId="0" fontId="0" fillId="0" borderId="16" xfId="0" applyBorder="1" applyAlignment="1">
      <alignment/>
    </xf>
    <xf numFmtId="2" fontId="0" fillId="0" borderId="35" xfId="0" applyNumberFormat="1" applyBorder="1" applyAlignment="1">
      <alignment/>
    </xf>
    <xf numFmtId="0" fontId="0" fillId="0" borderId="18" xfId="0" applyFont="1" applyFill="1" applyBorder="1" applyAlignment="1">
      <alignment/>
    </xf>
    <xf numFmtId="0" fontId="0" fillId="33" borderId="14" xfId="0" applyFill="1" applyBorder="1" applyAlignment="1">
      <alignment horizontal="center"/>
    </xf>
    <xf numFmtId="0" fontId="53" fillId="0" borderId="16"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26" fillId="0" borderId="13" xfId="0" applyFont="1" applyBorder="1" applyAlignment="1">
      <alignment/>
    </xf>
    <xf numFmtId="2" fontId="26" fillId="0" borderId="13" xfId="0" applyNumberFormat="1" applyFont="1" applyBorder="1" applyAlignment="1">
      <alignment/>
    </xf>
    <xf numFmtId="2" fontId="26" fillId="0" borderId="14" xfId="0" applyNumberFormat="1" applyFont="1" applyBorder="1" applyAlignment="1">
      <alignment/>
    </xf>
    <xf numFmtId="2" fontId="26" fillId="0" borderId="0" xfId="0" applyNumberFormat="1" applyFont="1" applyAlignment="1">
      <alignment/>
    </xf>
    <xf numFmtId="0" fontId="26" fillId="0" borderId="13" xfId="0" applyFont="1" applyFill="1" applyBorder="1" applyAlignment="1">
      <alignment/>
    </xf>
    <xf numFmtId="0" fontId="26" fillId="0" borderId="14" xfId="0" applyFont="1" applyFill="1" applyBorder="1" applyAlignment="1">
      <alignment/>
    </xf>
    <xf numFmtId="2" fontId="26" fillId="0" borderId="14" xfId="0" applyNumberFormat="1" applyFont="1" applyFill="1" applyBorder="1" applyAlignment="1">
      <alignment/>
    </xf>
    <xf numFmtId="0" fontId="26" fillId="0" borderId="0" xfId="0" applyFont="1" applyFill="1" applyBorder="1" applyAlignment="1">
      <alignment/>
    </xf>
    <xf numFmtId="2" fontId="26" fillId="0" borderId="0" xfId="0" applyNumberFormat="1" applyFont="1" applyFill="1" applyBorder="1" applyAlignment="1">
      <alignment/>
    </xf>
    <xf numFmtId="0" fontId="53" fillId="0" borderId="68" xfId="0" applyFont="1" applyBorder="1" applyAlignment="1">
      <alignment horizontal="center" vertical="center" wrapText="1"/>
    </xf>
    <xf numFmtId="2" fontId="26" fillId="0" borderId="13" xfId="0" applyNumberFormat="1" applyFont="1" applyFill="1" applyBorder="1" applyAlignment="1">
      <alignment/>
    </xf>
    <xf numFmtId="0" fontId="53" fillId="0" borderId="62" xfId="0" applyFont="1" applyBorder="1" applyAlignment="1">
      <alignment horizontal="center" vertical="center" wrapText="1"/>
    </xf>
    <xf numFmtId="0" fontId="26" fillId="0" borderId="17" xfId="0" applyFont="1" applyFill="1" applyBorder="1" applyAlignment="1">
      <alignment/>
    </xf>
    <xf numFmtId="0" fontId="9" fillId="0" borderId="0" xfId="52" applyFont="1" applyBorder="1" applyAlignment="1">
      <alignment horizontal="centerContinuous"/>
      <protection/>
    </xf>
    <xf numFmtId="0" fontId="54" fillId="0" borderId="0" xfId="52" applyFont="1" applyFill="1" applyBorder="1" applyAlignment="1">
      <alignment horizontal="left"/>
      <protection/>
    </xf>
    <xf numFmtId="0" fontId="22" fillId="0" borderId="0" xfId="52" applyFont="1" applyBorder="1" applyAlignment="1">
      <alignment horizontal="centerContinuous"/>
      <protection/>
    </xf>
    <xf numFmtId="0" fontId="21" fillId="0" borderId="0" xfId="0" applyFont="1" applyFill="1" applyAlignment="1">
      <alignment/>
    </xf>
    <xf numFmtId="0" fontId="22" fillId="0" borderId="55" xfId="52" applyFont="1" applyBorder="1" applyAlignment="1">
      <alignment horizontal="left"/>
      <protection/>
    </xf>
    <xf numFmtId="0" fontId="32" fillId="0" borderId="55" xfId="52" applyFont="1" applyBorder="1" applyAlignment="1">
      <alignment horizontal="left"/>
      <protection/>
    </xf>
    <xf numFmtId="0" fontId="1" fillId="0" borderId="55" xfId="52" applyFont="1" applyBorder="1" applyAlignment="1">
      <alignment horizontal="left"/>
      <protection/>
    </xf>
    <xf numFmtId="0" fontId="1" fillId="0" borderId="15" xfId="52" applyFont="1" applyBorder="1" applyAlignment="1">
      <alignment horizontal="center"/>
      <protection/>
    </xf>
    <xf numFmtId="0" fontId="22" fillId="0" borderId="31" xfId="0" applyFont="1" applyBorder="1" applyAlignment="1">
      <alignment/>
    </xf>
    <xf numFmtId="0" fontId="22" fillId="0" borderId="56" xfId="52" applyFont="1" applyBorder="1" applyAlignment="1">
      <alignment/>
      <protection/>
    </xf>
    <xf numFmtId="0" fontId="32" fillId="0" borderId="56" xfId="52" applyFont="1" applyBorder="1" applyAlignment="1">
      <alignment/>
      <protection/>
    </xf>
    <xf numFmtId="41" fontId="22" fillId="0" borderId="14" xfId="48" applyFont="1" applyBorder="1" applyAlignment="1" quotePrefix="1">
      <alignment horizontal="centerContinuous"/>
    </xf>
    <xf numFmtId="3" fontId="22" fillId="37" borderId="14" xfId="0" applyNumberFormat="1" applyFont="1" applyFill="1" applyBorder="1" applyAlignment="1">
      <alignment/>
    </xf>
    <xf numFmtId="3" fontId="22" fillId="0" borderId="14" xfId="0" applyNumberFormat="1" applyFont="1" applyBorder="1" applyAlignment="1">
      <alignment/>
    </xf>
    <xf numFmtId="41" fontId="22" fillId="0" borderId="14" xfId="48" applyFont="1" applyFill="1" applyBorder="1" applyAlignment="1" quotePrefix="1">
      <alignment horizontal="centerContinuous"/>
    </xf>
    <xf numFmtId="0" fontId="1" fillId="0" borderId="13" xfId="52" applyFont="1" applyBorder="1" applyAlignment="1">
      <alignment horizontal="center"/>
      <protection/>
    </xf>
    <xf numFmtId="193" fontId="28" fillId="38" borderId="13" xfId="50" applyNumberFormat="1" applyFont="1" applyFill="1" applyBorder="1" applyAlignment="1">
      <alignment horizontal="center"/>
    </xf>
    <xf numFmtId="0" fontId="31" fillId="37" borderId="0" xfId="0" applyFont="1" applyFill="1" applyAlignment="1">
      <alignment/>
    </xf>
    <xf numFmtId="193" fontId="22" fillId="37" borderId="14" xfId="50" applyNumberFormat="1" applyFont="1" applyFill="1" applyBorder="1" applyAlignment="1">
      <alignment horizontal="center"/>
    </xf>
    <xf numFmtId="194" fontId="1" fillId="37" borderId="0" xfId="49" applyNumberFormat="1" applyFont="1" applyFill="1" applyBorder="1" applyAlignment="1">
      <alignment horizontal="center"/>
    </xf>
    <xf numFmtId="0" fontId="22" fillId="0" borderId="11" xfId="0" applyFont="1" applyFill="1" applyBorder="1" applyAlignment="1">
      <alignment horizontal="center"/>
    </xf>
    <xf numFmtId="196" fontId="1" fillId="37" borderId="0" xfId="49" applyNumberFormat="1" applyFont="1" applyFill="1" applyBorder="1" applyAlignment="1">
      <alignment/>
    </xf>
    <xf numFmtId="0" fontId="32" fillId="0" borderId="0" xfId="0" applyFont="1" applyFill="1" applyBorder="1" applyAlignment="1">
      <alignment horizontal="center"/>
    </xf>
    <xf numFmtId="0" fontId="22" fillId="0" borderId="64" xfId="0" applyFont="1" applyBorder="1" applyAlignment="1">
      <alignment horizontal="center"/>
    </xf>
    <xf numFmtId="0" fontId="1" fillId="0" borderId="0" xfId="0" applyFont="1" applyFill="1" applyBorder="1" applyAlignment="1">
      <alignment horizontal="center"/>
    </xf>
    <xf numFmtId="2" fontId="1" fillId="0" borderId="13" xfId="49" applyNumberFormat="1" applyFont="1" applyFill="1" applyBorder="1" applyAlignment="1">
      <alignment horizontal="right"/>
    </xf>
    <xf numFmtId="2" fontId="1" fillId="37" borderId="13" xfId="49" applyNumberFormat="1" applyFont="1" applyFill="1" applyBorder="1" applyAlignment="1">
      <alignment horizontal="right"/>
    </xf>
    <xf numFmtId="192" fontId="1" fillId="0" borderId="13" xfId="0" applyNumberFormat="1" applyFont="1" applyBorder="1" applyAlignment="1">
      <alignment/>
    </xf>
    <xf numFmtId="0" fontId="0" fillId="0" borderId="14" xfId="0" applyFont="1" applyFill="1" applyBorder="1" applyAlignment="1">
      <alignment horizontal="left"/>
    </xf>
    <xf numFmtId="198" fontId="22" fillId="37" borderId="14" xfId="49" applyNumberFormat="1" applyFont="1" applyFill="1" applyBorder="1" applyAlignment="1">
      <alignment horizontal="right"/>
    </xf>
    <xf numFmtId="0" fontId="32" fillId="0" borderId="14" xfId="52" applyFont="1" applyBorder="1" applyAlignment="1">
      <alignment/>
      <protection/>
    </xf>
    <xf numFmtId="193" fontId="22" fillId="0" borderId="64" xfId="50" applyNumberFormat="1" applyFont="1" applyBorder="1" applyAlignment="1">
      <alignment horizontal="center"/>
    </xf>
    <xf numFmtId="2" fontId="1" fillId="37" borderId="14" xfId="49" applyNumberFormat="1" applyFont="1" applyFill="1" applyBorder="1" applyAlignment="1">
      <alignment horizontal="right"/>
    </xf>
    <xf numFmtId="0" fontId="0" fillId="0" borderId="14" xfId="0" applyFont="1" applyFill="1" applyBorder="1" applyAlignment="1">
      <alignment/>
    </xf>
    <xf numFmtId="44" fontId="22" fillId="37" borderId="14" xfId="49" applyFont="1" applyFill="1" applyBorder="1" applyAlignment="1">
      <alignment/>
    </xf>
    <xf numFmtId="44" fontId="22" fillId="0" borderId="14" xfId="49" applyFont="1" applyBorder="1" applyAlignment="1">
      <alignment/>
    </xf>
    <xf numFmtId="192" fontId="22" fillId="0" borderId="0" xfId="52" applyNumberFormat="1" applyFont="1" applyBorder="1" applyAlignment="1">
      <alignment/>
      <protection/>
    </xf>
    <xf numFmtId="192" fontId="22" fillId="37" borderId="0" xfId="52" applyNumberFormat="1" applyFont="1" applyFill="1" applyBorder="1" applyAlignment="1">
      <alignment/>
      <protection/>
    </xf>
    <xf numFmtId="192" fontId="22" fillId="0" borderId="0" xfId="52" applyNumberFormat="1" applyFont="1" applyFill="1" applyBorder="1" applyAlignment="1">
      <alignment/>
      <protection/>
    </xf>
    <xf numFmtId="44" fontId="9" fillId="0" borderId="0" xfId="49" applyFont="1" applyFill="1" applyAlignment="1">
      <alignment/>
    </xf>
    <xf numFmtId="44" fontId="9" fillId="0" borderId="0" xfId="49" applyFont="1" applyAlignment="1">
      <alignment/>
    </xf>
    <xf numFmtId="192" fontId="1" fillId="0" borderId="0" xfId="52" applyNumberFormat="1" applyFont="1" applyBorder="1" applyAlignment="1">
      <alignment/>
      <protection/>
    </xf>
    <xf numFmtId="192" fontId="1" fillId="0" borderId="0" xfId="52" applyNumberFormat="1" applyFont="1" applyFill="1" applyBorder="1" applyAlignment="1">
      <alignment/>
      <protection/>
    </xf>
    <xf numFmtId="164" fontId="1" fillId="0" borderId="14" xfId="0" applyNumberFormat="1" applyFont="1" applyFill="1" applyBorder="1" applyAlignment="1">
      <alignment/>
    </xf>
    <xf numFmtId="192" fontId="1" fillId="0" borderId="13" xfId="49" applyNumberFormat="1" applyFont="1" applyFill="1" applyBorder="1" applyAlignment="1">
      <alignment/>
    </xf>
    <xf numFmtId="192" fontId="1" fillId="37" borderId="13" xfId="49" applyNumberFormat="1" applyFont="1" applyFill="1" applyBorder="1" applyAlignment="1">
      <alignment/>
    </xf>
    <xf numFmtId="0" fontId="22" fillId="0" borderId="0" xfId="0" applyFont="1" applyAlignment="1">
      <alignment horizontal="center"/>
    </xf>
    <xf numFmtId="192" fontId="1" fillId="0" borderId="14" xfId="49" applyNumberFormat="1" applyFont="1" applyFill="1" applyBorder="1" applyAlignment="1">
      <alignment/>
    </xf>
    <xf numFmtId="192" fontId="1" fillId="37" borderId="14" xfId="49" applyNumberFormat="1" applyFont="1" applyFill="1" applyBorder="1" applyAlignment="1">
      <alignment/>
    </xf>
    <xf numFmtId="192" fontId="22" fillId="0" borderId="14" xfId="0" applyNumberFormat="1" applyFont="1" applyFill="1" applyBorder="1" applyAlignment="1">
      <alignment/>
    </xf>
    <xf numFmtId="192" fontId="22" fillId="37" borderId="14" xfId="0" applyNumberFormat="1" applyFont="1" applyFill="1" applyBorder="1" applyAlignment="1">
      <alignment/>
    </xf>
    <xf numFmtId="164" fontId="1" fillId="0" borderId="14" xfId="50" applyNumberFormat="1" applyFont="1" applyFill="1" applyBorder="1" applyAlignment="1" applyProtection="1">
      <alignment horizontal="right"/>
      <protection/>
    </xf>
    <xf numFmtId="10" fontId="1" fillId="0" borderId="0" xfId="49" applyNumberFormat="1" applyFont="1" applyBorder="1" applyAlignment="1">
      <alignment horizontal="center"/>
    </xf>
    <xf numFmtId="0" fontId="33" fillId="0" borderId="14" xfId="52" applyFont="1" applyBorder="1" applyAlignment="1">
      <alignment horizontal="center"/>
      <protection/>
    </xf>
    <xf numFmtId="0" fontId="33" fillId="0" borderId="0" xfId="52" applyFont="1" applyBorder="1" applyAlignment="1">
      <alignment horizontal="center"/>
      <protection/>
    </xf>
    <xf numFmtId="0" fontId="34" fillId="0" borderId="0" xfId="0" applyFont="1" applyBorder="1" applyAlignment="1">
      <alignment/>
    </xf>
    <xf numFmtId="192" fontId="33" fillId="0" borderId="0" xfId="0" applyNumberFormat="1" applyFont="1" applyFill="1" applyBorder="1" applyAlignment="1">
      <alignment/>
    </xf>
    <xf numFmtId="192" fontId="33" fillId="37" borderId="0" xfId="0" applyNumberFormat="1" applyFont="1" applyFill="1" applyBorder="1" applyAlignment="1">
      <alignment/>
    </xf>
    <xf numFmtId="192" fontId="1" fillId="0" borderId="0" xfId="0" applyNumberFormat="1" applyFont="1" applyFill="1" applyBorder="1" applyAlignment="1">
      <alignment/>
    </xf>
    <xf numFmtId="192" fontId="1" fillId="37" borderId="0" xfId="0" applyNumberFormat="1" applyFont="1" applyFill="1" applyBorder="1" applyAlignment="1">
      <alignment/>
    </xf>
    <xf numFmtId="44" fontId="1" fillId="0" borderId="0" xfId="49" applyFont="1" applyFill="1" applyBorder="1" applyAlignment="1">
      <alignment/>
    </xf>
    <xf numFmtId="0" fontId="31" fillId="0" borderId="20" xfId="0" applyFont="1" applyBorder="1" applyAlignment="1">
      <alignment/>
    </xf>
    <xf numFmtId="0" fontId="29" fillId="0" borderId="20" xfId="52" applyFont="1" applyBorder="1" applyAlignment="1" quotePrefix="1">
      <alignment horizontal="left"/>
      <protection/>
    </xf>
    <xf numFmtId="192" fontId="22" fillId="0" borderId="20" xfId="0" applyNumberFormat="1" applyFont="1" applyFill="1" applyBorder="1" applyAlignment="1">
      <alignment/>
    </xf>
    <xf numFmtId="192" fontId="22" fillId="37" borderId="20" xfId="0" applyNumberFormat="1" applyFont="1" applyFill="1" applyBorder="1" applyAlignment="1">
      <alignment/>
    </xf>
    <xf numFmtId="0" fontId="32" fillId="0" borderId="17" xfId="52" applyFont="1" applyBorder="1" applyAlignment="1">
      <alignment horizontal="center"/>
      <protection/>
    </xf>
    <xf numFmtId="41" fontId="36" fillId="0" borderId="17" xfId="48" applyFont="1" applyBorder="1" applyAlignment="1">
      <alignment horizontal="center"/>
    </xf>
    <xf numFmtId="41" fontId="36" fillId="0" borderId="15" xfId="48" applyFont="1" applyBorder="1" applyAlignment="1">
      <alignment horizontal="center"/>
    </xf>
    <xf numFmtId="44" fontId="1" fillId="0" borderId="0" xfId="49" applyFont="1" applyAlignment="1">
      <alignment/>
    </xf>
    <xf numFmtId="214" fontId="37" fillId="0" borderId="20" xfId="0" applyNumberFormat="1" applyFont="1" applyFill="1" applyBorder="1" applyAlignment="1">
      <alignment/>
    </xf>
    <xf numFmtId="214" fontId="37" fillId="37" borderId="20" xfId="0" applyNumberFormat="1" applyFont="1" applyFill="1" applyBorder="1" applyAlignment="1">
      <alignment/>
    </xf>
    <xf numFmtId="44" fontId="37" fillId="0" borderId="20" xfId="49" applyFont="1" applyBorder="1" applyAlignment="1">
      <alignment/>
    </xf>
    <xf numFmtId="0" fontId="55" fillId="0" borderId="0" xfId="0" applyFont="1" applyAlignment="1">
      <alignment/>
    </xf>
    <xf numFmtId="0" fontId="26" fillId="41" borderId="0" xfId="0" applyFont="1" applyFill="1" applyAlignment="1">
      <alignment/>
    </xf>
    <xf numFmtId="0" fontId="9" fillId="41" borderId="0" xfId="0" applyFont="1" applyFill="1" applyAlignment="1">
      <alignment horizontal="center"/>
    </xf>
    <xf numFmtId="0" fontId="0" fillId="41" borderId="0" xfId="0" applyFill="1" applyAlignment="1">
      <alignment/>
    </xf>
    <xf numFmtId="0" fontId="56" fillId="0" borderId="0" xfId="0" applyFont="1" applyAlignment="1">
      <alignment/>
    </xf>
    <xf numFmtId="0" fontId="22" fillId="37" borderId="14" xfId="0" applyFont="1" applyFill="1" applyBorder="1" applyAlignment="1">
      <alignment/>
    </xf>
    <xf numFmtId="192" fontId="1" fillId="0" borderId="13" xfId="0" applyNumberFormat="1" applyFont="1" applyBorder="1" applyAlignment="1">
      <alignment horizontal="left"/>
    </xf>
    <xf numFmtId="192" fontId="1" fillId="37" borderId="13" xfId="0" applyNumberFormat="1" applyFont="1" applyFill="1" applyBorder="1" applyAlignment="1">
      <alignment horizontal="left"/>
    </xf>
    <xf numFmtId="0" fontId="1" fillId="0" borderId="31" xfId="0" applyFont="1" applyFill="1" applyBorder="1" applyAlignment="1">
      <alignment horizontal="left"/>
    </xf>
    <xf numFmtId="192" fontId="1" fillId="0" borderId="14" xfId="0" applyNumberFormat="1" applyFont="1" applyBorder="1" applyAlignment="1">
      <alignment horizontal="left"/>
    </xf>
    <xf numFmtId="192" fontId="1" fillId="37" borderId="14" xfId="0" applyNumberFormat="1" applyFont="1" applyFill="1" applyBorder="1" applyAlignment="1">
      <alignment horizontal="left"/>
    </xf>
    <xf numFmtId="198" fontId="1" fillId="0" borderId="31" xfId="49" applyNumberFormat="1" applyFont="1" applyBorder="1" applyAlignment="1">
      <alignment horizontal="right"/>
    </xf>
    <xf numFmtId="198" fontId="1" fillId="37" borderId="14" xfId="49" applyNumberFormat="1" applyFont="1" applyFill="1" applyBorder="1" applyAlignment="1">
      <alignment horizontal="right"/>
    </xf>
    <xf numFmtId="198" fontId="1" fillId="0" borderId="14" xfId="49" applyNumberFormat="1" applyFont="1" applyBorder="1" applyAlignment="1">
      <alignment horizontal="right"/>
    </xf>
    <xf numFmtId="198" fontId="1" fillId="0" borderId="14" xfId="49" applyNumberFormat="1" applyFont="1" applyFill="1" applyBorder="1" applyAlignment="1">
      <alignment horizontal="right"/>
    </xf>
    <xf numFmtId="0" fontId="22" fillId="0" borderId="14" xfId="52" applyFont="1" applyBorder="1" applyAlignment="1">
      <alignment/>
      <protection/>
    </xf>
    <xf numFmtId="0" fontId="22" fillId="0" borderId="0" xfId="52" applyFont="1" applyBorder="1" applyAlignment="1">
      <alignment/>
      <protection/>
    </xf>
    <xf numFmtId="193" fontId="22" fillId="0" borderId="0" xfId="50" applyNumberFormat="1" applyFont="1" applyFill="1" applyBorder="1" applyAlignment="1">
      <alignment horizontal="center"/>
    </xf>
    <xf numFmtId="2" fontId="1" fillId="0" borderId="13" xfId="49" applyNumberFormat="1" applyFont="1" applyBorder="1" applyAlignment="1">
      <alignment horizontal="right"/>
    </xf>
    <xf numFmtId="44" fontId="1" fillId="37" borderId="14" xfId="49" applyFont="1" applyFill="1" applyBorder="1" applyAlignment="1">
      <alignment/>
    </xf>
    <xf numFmtId="192" fontId="1" fillId="37" borderId="0" xfId="52" applyNumberFormat="1" applyFont="1" applyFill="1" applyBorder="1" applyAlignment="1">
      <alignment/>
      <protection/>
    </xf>
    <xf numFmtId="204" fontId="1" fillId="0" borderId="13" xfId="49" applyNumberFormat="1" applyFont="1" applyBorder="1" applyAlignment="1">
      <alignment/>
    </xf>
    <xf numFmtId="204" fontId="1" fillId="37" borderId="13" xfId="49" applyNumberFormat="1" applyFont="1" applyFill="1" applyBorder="1" applyAlignment="1">
      <alignment/>
    </xf>
    <xf numFmtId="199" fontId="1" fillId="0" borderId="14" xfId="49" applyNumberFormat="1" applyFont="1" applyBorder="1" applyAlignment="1">
      <alignment/>
    </xf>
    <xf numFmtId="199" fontId="1" fillId="37" borderId="14" xfId="49" applyNumberFormat="1" applyFont="1" applyFill="1" applyBorder="1" applyAlignment="1">
      <alignment/>
    </xf>
    <xf numFmtId="199" fontId="1" fillId="0" borderId="14" xfId="49" applyNumberFormat="1" applyFont="1" applyFill="1" applyBorder="1" applyAlignment="1">
      <alignment/>
    </xf>
    <xf numFmtId="2" fontId="22" fillId="37" borderId="14" xfId="0" applyNumberFormat="1" applyFont="1" applyFill="1" applyBorder="1" applyAlignment="1">
      <alignment/>
    </xf>
    <xf numFmtId="2" fontId="22" fillId="0" borderId="14" xfId="0" applyNumberFormat="1" applyFont="1" applyFill="1" applyBorder="1" applyAlignment="1">
      <alignment/>
    </xf>
    <xf numFmtId="192" fontId="33" fillId="0" borderId="0" xfId="0" applyNumberFormat="1" applyFont="1" applyBorder="1" applyAlignment="1">
      <alignment/>
    </xf>
    <xf numFmtId="0" fontId="34" fillId="0" borderId="14" xfId="0" applyFont="1" applyBorder="1" applyAlignment="1">
      <alignment/>
    </xf>
    <xf numFmtId="192" fontId="22" fillId="0" borderId="0" xfId="0" applyNumberFormat="1" applyFont="1" applyBorder="1" applyAlignment="1">
      <alignment/>
    </xf>
    <xf numFmtId="192" fontId="22" fillId="37" borderId="0" xfId="0" applyNumberFormat="1" applyFont="1" applyFill="1" applyBorder="1" applyAlignment="1">
      <alignment/>
    </xf>
    <xf numFmtId="0" fontId="35" fillId="0" borderId="14" xfId="0" applyFont="1" applyBorder="1" applyAlignment="1">
      <alignment/>
    </xf>
    <xf numFmtId="0" fontId="29" fillId="0" borderId="0" xfId="52" applyFont="1" applyBorder="1" applyAlignment="1" quotePrefix="1">
      <alignment horizontal="left"/>
      <protection/>
    </xf>
    <xf numFmtId="44" fontId="36" fillId="0" borderId="0" xfId="49" applyFont="1" applyAlignment="1">
      <alignment/>
    </xf>
    <xf numFmtId="206" fontId="39" fillId="0" borderId="20" xfId="0" applyNumberFormat="1" applyFont="1" applyBorder="1" applyAlignment="1">
      <alignment/>
    </xf>
    <xf numFmtId="206" fontId="39" fillId="37" borderId="20" xfId="0" applyNumberFormat="1" applyFont="1" applyFill="1" applyBorder="1" applyAlignment="1">
      <alignment/>
    </xf>
    <xf numFmtId="206" fontId="39" fillId="0" borderId="19" xfId="0" applyNumberFormat="1" applyFont="1" applyBorder="1" applyAlignment="1">
      <alignment/>
    </xf>
    <xf numFmtId="0" fontId="32" fillId="0" borderId="14" xfId="52" applyFont="1" applyBorder="1" applyAlignment="1">
      <alignment horizontal="center"/>
      <protection/>
    </xf>
    <xf numFmtId="41" fontId="36" fillId="0" borderId="14" xfId="48" applyFont="1" applyBorder="1" applyAlignment="1">
      <alignment horizontal="center"/>
    </xf>
    <xf numFmtId="0" fontId="56" fillId="0" borderId="0" xfId="0" applyFont="1" applyFill="1" applyAlignment="1">
      <alignment/>
    </xf>
    <xf numFmtId="0" fontId="22" fillId="0" borderId="33" xfId="0" applyFont="1" applyBorder="1" applyAlignment="1">
      <alignment/>
    </xf>
    <xf numFmtId="41" fontId="22" fillId="37" borderId="13" xfId="48" applyFont="1" applyFill="1" applyBorder="1" applyAlignment="1" quotePrefix="1">
      <alignment horizontal="centerContinuous"/>
    </xf>
    <xf numFmtId="0" fontId="29" fillId="0" borderId="0" xfId="52" applyFont="1" applyFill="1" applyBorder="1" applyAlignment="1">
      <alignment horizontal="centerContinuous"/>
      <protection/>
    </xf>
    <xf numFmtId="198" fontId="22" fillId="37" borderId="31" xfId="49" applyNumberFormat="1" applyFont="1" applyFill="1" applyBorder="1" applyAlignment="1">
      <alignment horizontal="right"/>
    </xf>
    <xf numFmtId="44" fontId="22" fillId="37" borderId="0" xfId="49" applyFont="1" applyFill="1" applyBorder="1" applyAlignment="1">
      <alignment/>
    </xf>
    <xf numFmtId="204" fontId="1" fillId="37" borderId="14" xfId="49" applyNumberFormat="1" applyFont="1" applyFill="1" applyBorder="1" applyAlignment="1">
      <alignment/>
    </xf>
    <xf numFmtId="204" fontId="1" fillId="0" borderId="14" xfId="49" applyNumberFormat="1" applyFont="1" applyBorder="1" applyAlignment="1">
      <alignment/>
    </xf>
    <xf numFmtId="206" fontId="1" fillId="0" borderId="14" xfId="0" applyNumberFormat="1" applyFont="1" applyBorder="1" applyAlignment="1">
      <alignment/>
    </xf>
    <xf numFmtId="44" fontId="33" fillId="0" borderId="14" xfId="49" applyFont="1" applyBorder="1" applyAlignment="1">
      <alignment/>
    </xf>
    <xf numFmtId="44" fontId="33" fillId="37" borderId="0" xfId="49" applyFont="1" applyFill="1" applyBorder="1" applyAlignment="1">
      <alignment/>
    </xf>
    <xf numFmtId="44" fontId="33" fillId="0" borderId="0" xfId="49" applyFont="1" applyFill="1" applyBorder="1" applyAlignment="1">
      <alignment/>
    </xf>
    <xf numFmtId="44" fontId="33" fillId="0" borderId="0" xfId="49" applyFont="1" applyBorder="1" applyAlignment="1">
      <alignment/>
    </xf>
    <xf numFmtId="44" fontId="40" fillId="37" borderId="20" xfId="49" applyFont="1" applyFill="1" applyBorder="1" applyAlignment="1">
      <alignment/>
    </xf>
    <xf numFmtId="44" fontId="40" fillId="0" borderId="19" xfId="49" applyFont="1" applyBorder="1" applyAlignment="1">
      <alignment/>
    </xf>
    <xf numFmtId="0" fontId="27" fillId="0" borderId="0" xfId="52" applyFont="1" applyFill="1" applyBorder="1" applyAlignment="1">
      <alignment horizontal="left"/>
      <protection/>
    </xf>
    <xf numFmtId="44" fontId="1" fillId="0" borderId="13" xfId="49" applyFont="1" applyBorder="1" applyAlignment="1">
      <alignment/>
    </xf>
    <xf numFmtId="44" fontId="1" fillId="37" borderId="13" xfId="49" applyFont="1" applyFill="1" applyBorder="1" applyAlignment="1">
      <alignment/>
    </xf>
    <xf numFmtId="44" fontId="33" fillId="0" borderId="20" xfId="49" applyFont="1" applyBorder="1" applyAlignment="1">
      <alignment/>
    </xf>
    <xf numFmtId="44" fontId="33" fillId="0" borderId="20" xfId="49" applyFont="1" applyFill="1" applyBorder="1" applyAlignment="1">
      <alignment/>
    </xf>
    <xf numFmtId="44" fontId="33" fillId="0" borderId="19" xfId="49" applyFont="1" applyFill="1" applyBorder="1" applyAlignment="1">
      <alignment/>
    </xf>
    <xf numFmtId="0" fontId="22" fillId="0" borderId="16" xfId="52" applyFont="1" applyBorder="1" applyAlignment="1">
      <alignment horizontal="center"/>
      <protection/>
    </xf>
    <xf numFmtId="0" fontId="35" fillId="0" borderId="20" xfId="0" applyFont="1" applyBorder="1" applyAlignment="1">
      <alignment/>
    </xf>
    <xf numFmtId="44" fontId="22" fillId="0" borderId="20" xfId="49" applyFont="1" applyBorder="1" applyAlignment="1">
      <alignment/>
    </xf>
    <xf numFmtId="44" fontId="22" fillId="0" borderId="20" xfId="49" applyFont="1" applyFill="1" applyBorder="1" applyAlignment="1">
      <alignment/>
    </xf>
    <xf numFmtId="44" fontId="22" fillId="0" borderId="19" xfId="49" applyFont="1" applyBorder="1" applyAlignment="1">
      <alignment/>
    </xf>
    <xf numFmtId="0" fontId="38" fillId="0" borderId="0" xfId="0" applyFont="1" applyBorder="1" applyAlignment="1">
      <alignment/>
    </xf>
    <xf numFmtId="2" fontId="38" fillId="0" borderId="0" xfId="0" applyNumberFormat="1" applyFont="1" applyBorder="1" applyAlignment="1">
      <alignment/>
    </xf>
    <xf numFmtId="0" fontId="21" fillId="0" borderId="0" xfId="0" applyFont="1" applyFill="1" applyAlignment="1">
      <alignment/>
    </xf>
    <xf numFmtId="0" fontId="57" fillId="0" borderId="0" xfId="0" applyFont="1" applyAlignment="1">
      <alignment horizontal="centerContinuous"/>
    </xf>
    <xf numFmtId="0" fontId="58" fillId="0" borderId="0" xfId="0" applyFont="1" applyFill="1" applyAlignment="1">
      <alignment horizontal="centerContinuous"/>
    </xf>
    <xf numFmtId="9" fontId="0" fillId="0" borderId="0" xfId="54" applyFont="1" applyAlignment="1">
      <alignment/>
    </xf>
    <xf numFmtId="0" fontId="59" fillId="0" borderId="0" xfId="0" applyFont="1" applyAlignment="1">
      <alignment/>
    </xf>
    <xf numFmtId="0" fontId="27" fillId="0" borderId="55" xfId="0" applyFont="1" applyFill="1" applyBorder="1" applyAlignment="1">
      <alignment horizontal="centerContinuous"/>
    </xf>
    <xf numFmtId="195" fontId="22" fillId="0" borderId="15" xfId="0" applyNumberFormat="1" applyFont="1" applyFill="1" applyBorder="1" applyAlignment="1" applyProtection="1">
      <alignment horizontal="center"/>
      <protection/>
    </xf>
    <xf numFmtId="4" fontId="22" fillId="0" borderId="15" xfId="0" applyNumberFormat="1" applyFont="1" applyFill="1" applyBorder="1" applyAlignment="1" applyProtection="1">
      <alignment horizontal="center"/>
      <protection/>
    </xf>
    <xf numFmtId="201" fontId="27" fillId="0" borderId="81" xfId="0" applyNumberFormat="1" applyFont="1" applyFill="1" applyBorder="1" applyAlignment="1">
      <alignment/>
    </xf>
    <xf numFmtId="0" fontId="22" fillId="0" borderId="55" xfId="52" applyFont="1" applyBorder="1" applyAlignment="1">
      <alignment horizontal="centerContinuous"/>
      <protection/>
    </xf>
    <xf numFmtId="0" fontId="22" fillId="0" borderId="15" xfId="52" applyFont="1" applyBorder="1" applyAlignment="1">
      <alignment horizontal="centerContinuous"/>
      <protection/>
    </xf>
    <xf numFmtId="0" fontId="22" fillId="0" borderId="64" xfId="52" applyFont="1" applyBorder="1" applyAlignment="1">
      <alignment horizontal="centerContinuous"/>
      <protection/>
    </xf>
    <xf numFmtId="0" fontId="1" fillId="0" borderId="81" xfId="52" applyFont="1" applyBorder="1" applyAlignment="1">
      <alignment horizontal="centerContinuous"/>
      <protection/>
    </xf>
    <xf numFmtId="0" fontId="1" fillId="0" borderId="82" xfId="52" applyFont="1" applyBorder="1" applyAlignment="1">
      <alignment horizontal="centerContinuous"/>
      <protection/>
    </xf>
    <xf numFmtId="0" fontId="22" fillId="0" borderId="56" xfId="0" applyFont="1" applyFill="1" applyBorder="1" applyAlignment="1">
      <alignment/>
    </xf>
    <xf numFmtId="195" fontId="22" fillId="0" borderId="13" xfId="0" applyNumberFormat="1" applyFont="1" applyFill="1" applyBorder="1" applyAlignment="1">
      <alignment horizontal="center"/>
    </xf>
    <xf numFmtId="4" fontId="22" fillId="0" borderId="13" xfId="0" applyNumberFormat="1" applyFont="1" applyFill="1" applyBorder="1" applyAlignment="1">
      <alignment/>
    </xf>
    <xf numFmtId="3" fontId="60" fillId="0" borderId="14" xfId="48" applyNumberFormat="1" applyFont="1" applyBorder="1" applyAlignment="1" quotePrefix="1">
      <alignment horizontal="center"/>
    </xf>
    <xf numFmtId="3" fontId="60" fillId="0" borderId="13" xfId="48" applyNumberFormat="1" applyFont="1" applyFill="1" applyBorder="1" applyAlignment="1" quotePrefix="1">
      <alignment horizontal="center"/>
    </xf>
    <xf numFmtId="3" fontId="60" fillId="37" borderId="13" xfId="48" applyNumberFormat="1" applyFont="1" applyFill="1" applyBorder="1" applyAlignment="1" quotePrefix="1">
      <alignment horizontal="center"/>
    </xf>
    <xf numFmtId="3" fontId="60" fillId="0" borderId="13" xfId="48" applyNumberFormat="1" applyFont="1" applyBorder="1" applyAlignment="1" quotePrefix="1">
      <alignment horizontal="center"/>
    </xf>
    <xf numFmtId="1" fontId="22" fillId="0" borderId="14" xfId="48" applyNumberFormat="1" applyFont="1" applyBorder="1" applyAlignment="1" quotePrefix="1">
      <alignment horizontal="center" vertical="center"/>
    </xf>
    <xf numFmtId="0" fontId="22" fillId="0" borderId="12" xfId="0" applyFont="1" applyFill="1" applyBorder="1" applyAlignment="1">
      <alignment horizontal="left"/>
    </xf>
    <xf numFmtId="193" fontId="1" fillId="0" borderId="83" xfId="50" applyNumberFormat="1" applyFont="1" applyFill="1" applyBorder="1" applyAlignment="1" applyProtection="1">
      <alignment/>
      <protection/>
    </xf>
    <xf numFmtId="2" fontId="1" fillId="0" borderId="0" xfId="49" applyNumberFormat="1" applyFont="1" applyFill="1" applyBorder="1" applyAlignment="1" applyProtection="1">
      <alignment/>
      <protection/>
    </xf>
    <xf numFmtId="202" fontId="1" fillId="0" borderId="14" xfId="50" applyNumberFormat="1" applyFont="1" applyBorder="1" applyAlignment="1">
      <alignment horizontal="center" vertical="center"/>
    </xf>
    <xf numFmtId="0" fontId="1" fillId="0" borderId="0" xfId="52" applyFont="1" applyBorder="1" applyAlignment="1">
      <alignment horizontal="centerContinuous"/>
      <protection/>
    </xf>
    <xf numFmtId="0" fontId="1" fillId="0" borderId="73" xfId="52" applyFont="1" applyBorder="1" applyAlignment="1">
      <alignment horizontal="centerContinuous"/>
      <protection/>
    </xf>
    <xf numFmtId="0" fontId="1" fillId="0" borderId="23" xfId="0" applyFont="1" applyFill="1" applyBorder="1" applyAlignment="1">
      <alignment horizontal="left"/>
    </xf>
    <xf numFmtId="193" fontId="30" fillId="38" borderId="63" xfId="50" applyNumberFormat="1" applyFont="1" applyFill="1" applyBorder="1" applyAlignment="1" applyProtection="1">
      <alignment horizontal="center"/>
      <protection/>
    </xf>
    <xf numFmtId="0" fontId="22" fillId="0" borderId="14" xfId="52" applyFont="1" applyBorder="1" applyAlignment="1" quotePrefix="1">
      <alignment horizontal="left"/>
      <protection/>
    </xf>
    <xf numFmtId="194" fontId="22" fillId="0" borderId="14" xfId="50" applyNumberFormat="1" applyFont="1" applyBorder="1" applyAlignment="1">
      <alignment horizontal="center" vertical="center"/>
    </xf>
    <xf numFmtId="0" fontId="27" fillId="0" borderId="0" xfId="0" applyFont="1" applyFill="1" applyBorder="1" applyAlignment="1">
      <alignment horizontal="center"/>
    </xf>
    <xf numFmtId="195" fontId="1" fillId="0" borderId="0" xfId="49" applyNumberFormat="1" applyFont="1" applyFill="1" applyBorder="1" applyAlignment="1" applyProtection="1">
      <alignment/>
      <protection/>
    </xf>
    <xf numFmtId="193" fontId="22" fillId="0" borderId="14" xfId="50" applyNumberFormat="1" applyFont="1" applyFill="1" applyBorder="1" applyAlignment="1" applyProtection="1">
      <alignment/>
      <protection/>
    </xf>
    <xf numFmtId="0" fontId="22" fillId="0" borderId="14" xfId="0" applyFont="1" applyFill="1" applyBorder="1" applyAlignment="1">
      <alignment horizontal="left"/>
    </xf>
    <xf numFmtId="0" fontId="22" fillId="0" borderId="11" xfId="0" applyFont="1" applyFill="1" applyBorder="1" applyAlignment="1">
      <alignment horizontal="center"/>
    </xf>
    <xf numFmtId="196" fontId="1" fillId="0" borderId="0" xfId="49" applyNumberFormat="1" applyFont="1" applyBorder="1" applyAlignment="1">
      <alignment/>
    </xf>
    <xf numFmtId="0" fontId="22" fillId="0" borderId="18" xfId="0" applyFont="1" applyFill="1" applyBorder="1" applyAlignment="1">
      <alignment horizontal="left"/>
    </xf>
    <xf numFmtId="193" fontId="1" fillId="0" borderId="35" xfId="50" applyNumberFormat="1" applyFont="1" applyFill="1" applyBorder="1" applyAlignment="1" applyProtection="1">
      <alignment horizontal="center"/>
      <protection/>
    </xf>
    <xf numFmtId="193" fontId="1" fillId="0" borderId="0" xfId="50" applyNumberFormat="1" applyFont="1" applyFill="1" applyBorder="1" applyAlignment="1" applyProtection="1">
      <alignment/>
      <protection/>
    </xf>
    <xf numFmtId="0" fontId="22" fillId="0" borderId="0" xfId="0" applyFont="1" applyFill="1" applyBorder="1" applyAlignment="1">
      <alignment horizontal="center"/>
    </xf>
    <xf numFmtId="193" fontId="22" fillId="0" borderId="84" xfId="50" applyNumberFormat="1" applyFont="1" applyFill="1" applyBorder="1" applyAlignment="1" applyProtection="1">
      <alignment horizontal="center"/>
      <protection/>
    </xf>
    <xf numFmtId="0" fontId="22" fillId="0" borderId="0" xfId="0" applyFont="1" applyFill="1" applyBorder="1" applyAlignment="1">
      <alignment horizontal="left"/>
    </xf>
    <xf numFmtId="193" fontId="1" fillId="0" borderId="84" xfId="50" applyNumberFormat="1" applyFont="1" applyFill="1" applyBorder="1" applyAlignment="1" applyProtection="1">
      <alignment horizontal="center"/>
      <protection/>
    </xf>
    <xf numFmtId="2" fontId="1" fillId="0" borderId="14" xfId="0" applyNumberFormat="1" applyFont="1" applyFill="1" applyBorder="1" applyAlignment="1">
      <alignment horizontal="center"/>
    </xf>
    <xf numFmtId="202" fontId="1" fillId="0" borderId="13" xfId="50" applyNumberFormat="1" applyFont="1" applyBorder="1" applyAlignment="1">
      <alignment horizontal="center" vertical="center"/>
    </xf>
    <xf numFmtId="2" fontId="1" fillId="0" borderId="14" xfId="50" applyNumberFormat="1" applyFont="1" applyFill="1" applyBorder="1" applyAlignment="1" applyProtection="1">
      <alignment horizontal="center"/>
      <protection/>
    </xf>
    <xf numFmtId="193" fontId="1" fillId="0" borderId="14" xfId="50" applyNumberFormat="1" applyFont="1" applyFill="1" applyBorder="1" applyAlignment="1" applyProtection="1">
      <alignment horizontal="center"/>
      <protection/>
    </xf>
    <xf numFmtId="193" fontId="1" fillId="0" borderId="13" xfId="50" applyNumberFormat="1" applyFont="1" applyFill="1" applyBorder="1" applyAlignment="1" applyProtection="1">
      <alignment horizontal="center"/>
      <protection/>
    </xf>
    <xf numFmtId="193" fontId="1" fillId="37" borderId="13" xfId="50" applyNumberFormat="1" applyFont="1" applyFill="1" applyBorder="1" applyAlignment="1" applyProtection="1">
      <alignment horizontal="center"/>
      <protection/>
    </xf>
    <xf numFmtId="193" fontId="1" fillId="37" borderId="14" xfId="50" applyNumberFormat="1" applyFont="1" applyFill="1" applyBorder="1" applyAlignment="1" applyProtection="1">
      <alignment horizontal="center"/>
      <protection/>
    </xf>
    <xf numFmtId="1" fontId="26" fillId="0" borderId="14" xfId="50" applyNumberFormat="1" applyFont="1" applyFill="1" applyBorder="1" applyAlignment="1" applyProtection="1">
      <alignment horizontal="right"/>
      <protection/>
    </xf>
    <xf numFmtId="40" fontId="1" fillId="0" borderId="0" xfId="49" applyNumberFormat="1" applyFont="1" applyBorder="1" applyAlignment="1">
      <alignment horizontal="center"/>
    </xf>
    <xf numFmtId="202" fontId="1" fillId="0" borderId="0" xfId="49" applyNumberFormat="1" applyFont="1" applyBorder="1" applyAlignment="1">
      <alignment horizontal="center"/>
    </xf>
    <xf numFmtId="2" fontId="1" fillId="0" borderId="14" xfId="49" applyNumberFormat="1" applyFont="1" applyBorder="1" applyAlignment="1">
      <alignment horizontal="center"/>
    </xf>
    <xf numFmtId="40" fontId="1" fillId="0" borderId="14" xfId="49" applyNumberFormat="1" applyFont="1" applyBorder="1" applyAlignment="1">
      <alignment horizontal="center"/>
    </xf>
    <xf numFmtId="1" fontId="26" fillId="0" borderId="0" xfId="50" applyNumberFormat="1" applyFont="1" applyFill="1" applyBorder="1" applyAlignment="1" applyProtection="1">
      <alignment horizontal="right"/>
      <protection/>
    </xf>
    <xf numFmtId="202" fontId="22" fillId="0" borderId="14" xfId="50" applyNumberFormat="1" applyFont="1" applyBorder="1" applyAlignment="1">
      <alignment horizontal="center" vertical="center"/>
    </xf>
    <xf numFmtId="2" fontId="1" fillId="0" borderId="0" xfId="50" applyNumberFormat="1" applyFont="1" applyFill="1" applyBorder="1" applyAlignment="1" applyProtection="1">
      <alignment horizontal="center"/>
      <protection/>
    </xf>
    <xf numFmtId="0" fontId="1" fillId="0" borderId="0" xfId="0" applyFont="1" applyFill="1" applyBorder="1" applyAlignment="1">
      <alignment horizontal="right"/>
    </xf>
    <xf numFmtId="193" fontId="1" fillId="38" borderId="14" xfId="50" applyNumberFormat="1" applyFont="1" applyFill="1" applyBorder="1" applyAlignment="1" applyProtection="1">
      <alignment horizontal="center"/>
      <protection/>
    </xf>
    <xf numFmtId="193" fontId="26" fillId="0" borderId="0" xfId="50" applyNumberFormat="1" applyFont="1" applyFill="1" applyBorder="1" applyAlignment="1" applyProtection="1">
      <alignment horizontal="center"/>
      <protection/>
    </xf>
    <xf numFmtId="0" fontId="1" fillId="0" borderId="14" xfId="50" applyNumberFormat="1" applyFont="1" applyBorder="1" applyAlignment="1">
      <alignment horizontal="center" vertical="center"/>
    </xf>
    <xf numFmtId="193" fontId="33" fillId="0" borderId="14" xfId="50" applyNumberFormat="1" applyFont="1" applyFill="1" applyBorder="1" applyAlignment="1" applyProtection="1">
      <alignment/>
      <protection/>
    </xf>
    <xf numFmtId="193" fontId="33" fillId="37" borderId="14" xfId="50" applyNumberFormat="1" applyFont="1" applyFill="1" applyBorder="1" applyAlignment="1" applyProtection="1">
      <alignment/>
      <protection/>
    </xf>
    <xf numFmtId="193" fontId="33" fillId="38" borderId="14" xfId="50" applyNumberFormat="1" applyFont="1" applyFill="1" applyBorder="1" applyAlignment="1" applyProtection="1">
      <alignment/>
      <protection/>
    </xf>
    <xf numFmtId="0" fontId="1" fillId="0" borderId="14" xfId="50" applyNumberFormat="1" applyFont="1" applyFill="1" applyBorder="1" applyAlignment="1" applyProtection="1">
      <alignment horizontal="right"/>
      <protection/>
    </xf>
    <xf numFmtId="193" fontId="1" fillId="0" borderId="13" xfId="50" applyNumberFormat="1" applyFont="1" applyFill="1" applyBorder="1" applyAlignment="1" applyProtection="1">
      <alignment/>
      <protection/>
    </xf>
    <xf numFmtId="193" fontId="1" fillId="37" borderId="13" xfId="50" applyNumberFormat="1" applyFont="1" applyFill="1" applyBorder="1" applyAlignment="1" applyProtection="1">
      <alignment/>
      <protection/>
    </xf>
    <xf numFmtId="193" fontId="1" fillId="38" borderId="13" xfId="50" applyNumberFormat="1" applyFont="1" applyFill="1" applyBorder="1" applyAlignment="1" applyProtection="1">
      <alignment/>
      <protection/>
    </xf>
    <xf numFmtId="202" fontId="1" fillId="0" borderId="14" xfId="49" applyNumberFormat="1" applyFont="1" applyBorder="1" applyAlignment="1">
      <alignment horizontal="center"/>
    </xf>
    <xf numFmtId="202" fontId="22" fillId="0" borderId="14" xfId="49" applyNumberFormat="1" applyFont="1" applyBorder="1" applyAlignment="1">
      <alignment horizontal="center"/>
    </xf>
    <xf numFmtId="0" fontId="1" fillId="0" borderId="14" xfId="0" applyFont="1" applyFill="1" applyBorder="1" applyAlignment="1" quotePrefix="1">
      <alignment horizontal="left"/>
    </xf>
    <xf numFmtId="193" fontId="1" fillId="0" borderId="14" xfId="50" applyNumberFormat="1" applyFont="1" applyFill="1" applyBorder="1" applyAlignment="1" applyProtection="1">
      <alignment/>
      <protection/>
    </xf>
    <xf numFmtId="193" fontId="1" fillId="37" borderId="14" xfId="50" applyNumberFormat="1" applyFont="1" applyFill="1" applyBorder="1" applyAlignment="1" applyProtection="1">
      <alignment/>
      <protection/>
    </xf>
    <xf numFmtId="193" fontId="1" fillId="38" borderId="14" xfId="50" applyNumberFormat="1" applyFont="1" applyFill="1" applyBorder="1" applyAlignment="1" applyProtection="1">
      <alignment/>
      <protection/>
    </xf>
    <xf numFmtId="202" fontId="1" fillId="0" borderId="0" xfId="50" applyNumberFormat="1" applyFont="1" applyBorder="1" applyAlignment="1">
      <alignment horizontal="center" vertical="center"/>
    </xf>
    <xf numFmtId="0" fontId="1" fillId="0" borderId="0" xfId="52" applyFont="1" applyBorder="1" applyAlignment="1">
      <alignment horizontal="center"/>
      <protection/>
    </xf>
    <xf numFmtId="193" fontId="22" fillId="0" borderId="14" xfId="50" applyNumberFormat="1" applyFont="1" applyBorder="1" applyAlignment="1">
      <alignment horizontal="center"/>
    </xf>
    <xf numFmtId="164" fontId="1" fillId="0" borderId="14" xfId="50" applyNumberFormat="1" applyFont="1" applyBorder="1" applyAlignment="1">
      <alignment horizontal="center" vertical="center"/>
    </xf>
    <xf numFmtId="191" fontId="1" fillId="0" borderId="14" xfId="0" applyNumberFormat="1" applyFont="1" applyBorder="1" applyAlignment="1">
      <alignment/>
    </xf>
    <xf numFmtId="164" fontId="22" fillId="0" borderId="14" xfId="50" applyNumberFormat="1" applyFont="1" applyBorder="1" applyAlignment="1">
      <alignment horizontal="center"/>
    </xf>
    <xf numFmtId="0" fontId="1" fillId="0" borderId="0" xfId="0" applyFont="1" applyFill="1" applyBorder="1" applyAlignment="1">
      <alignment/>
    </xf>
    <xf numFmtId="193" fontId="33" fillId="0" borderId="0" xfId="50" applyNumberFormat="1" applyFont="1" applyFill="1" applyBorder="1" applyAlignment="1" applyProtection="1">
      <alignment/>
      <protection/>
    </xf>
    <xf numFmtId="193" fontId="33" fillId="38" borderId="0" xfId="50" applyNumberFormat="1" applyFont="1" applyFill="1" applyBorder="1" applyAlignment="1" applyProtection="1">
      <alignment/>
      <protection/>
    </xf>
    <xf numFmtId="0" fontId="1" fillId="0" borderId="0" xfId="0" applyFont="1" applyFill="1" applyBorder="1" applyAlignment="1">
      <alignment horizontal="left"/>
    </xf>
    <xf numFmtId="193" fontId="33" fillId="0" borderId="0" xfId="50" applyNumberFormat="1" applyFont="1" applyFill="1" applyBorder="1" applyAlignment="1" applyProtection="1">
      <alignment wrapText="1"/>
      <protection/>
    </xf>
    <xf numFmtId="193" fontId="33" fillId="38" borderId="81" xfId="50" applyNumberFormat="1" applyFont="1" applyFill="1" applyBorder="1" applyAlignment="1" applyProtection="1">
      <alignment wrapText="1"/>
      <protection/>
    </xf>
    <xf numFmtId="0" fontId="22" fillId="0" borderId="14" xfId="52" applyFont="1" applyBorder="1" applyAlignment="1">
      <alignment horizontal="center"/>
      <protection/>
    </xf>
    <xf numFmtId="195" fontId="1" fillId="0" borderId="0" xfId="49" applyNumberFormat="1" applyFont="1" applyFill="1" applyBorder="1" applyAlignment="1">
      <alignment/>
    </xf>
    <xf numFmtId="0" fontId="22" fillId="0" borderId="42" xfId="0" applyFont="1" applyFill="1" applyBorder="1" applyAlignment="1">
      <alignment horizontal="center"/>
    </xf>
    <xf numFmtId="2" fontId="9" fillId="0" borderId="83" xfId="0" applyNumberFormat="1" applyFont="1" applyFill="1" applyBorder="1" applyAlignment="1">
      <alignment horizontal="center"/>
    </xf>
    <xf numFmtId="164" fontId="43" fillId="0" borderId="0" xfId="49" applyNumberFormat="1" applyFont="1" applyFill="1" applyBorder="1" applyAlignment="1" applyProtection="1">
      <alignment horizontal="center"/>
      <protection/>
    </xf>
    <xf numFmtId="206" fontId="0" fillId="0" borderId="20" xfId="0" applyNumberFormat="1" applyBorder="1" applyAlignment="1">
      <alignment/>
    </xf>
    <xf numFmtId="44" fontId="40" fillId="0" borderId="20" xfId="49" applyFont="1" applyFill="1" applyBorder="1" applyAlignment="1">
      <alignment/>
    </xf>
    <xf numFmtId="193" fontId="1" fillId="0" borderId="0" xfId="50" applyNumberFormat="1" applyFont="1" applyFill="1" applyBorder="1" applyAlignment="1" applyProtection="1">
      <alignment horizontal="center"/>
      <protection/>
    </xf>
    <xf numFmtId="10" fontId="1" fillId="0" borderId="0" xfId="0" applyNumberFormat="1" applyFont="1" applyFill="1" applyBorder="1" applyAlignment="1">
      <alignment/>
    </xf>
    <xf numFmtId="193" fontId="1" fillId="38" borderId="0" xfId="50" applyNumberFormat="1" applyFont="1" applyFill="1" applyBorder="1" applyAlignment="1" applyProtection="1">
      <alignment horizontal="center"/>
      <protection/>
    </xf>
    <xf numFmtId="164" fontId="1" fillId="0" borderId="14" xfId="50" applyNumberFormat="1" applyFont="1" applyFill="1" applyBorder="1" applyAlignment="1" applyProtection="1">
      <alignment horizontal="center"/>
      <protection/>
    </xf>
    <xf numFmtId="202" fontId="33" fillId="0" borderId="14" xfId="50" applyNumberFormat="1" applyFont="1" applyFill="1" applyBorder="1" applyAlignment="1" applyProtection="1">
      <alignment/>
      <protection/>
    </xf>
    <xf numFmtId="0" fontId="22" fillId="0" borderId="0" xfId="0" applyFont="1" applyFill="1" applyBorder="1" applyAlignment="1">
      <alignment horizontal="left"/>
    </xf>
    <xf numFmtId="10" fontId="33" fillId="0" borderId="0" xfId="54" applyNumberFormat="1" applyFont="1" applyFill="1" applyBorder="1" applyAlignment="1">
      <alignment/>
    </xf>
    <xf numFmtId="0" fontId="22" fillId="0" borderId="14" xfId="0" applyFont="1" applyFill="1" applyBorder="1" applyAlignment="1">
      <alignment horizontal="center"/>
    </xf>
    <xf numFmtId="195" fontId="22" fillId="0" borderId="0" xfId="0" applyNumberFormat="1" applyFont="1" applyFill="1" applyBorder="1" applyAlignment="1">
      <alignment/>
    </xf>
    <xf numFmtId="2" fontId="22" fillId="0" borderId="0" xfId="0" applyNumberFormat="1" applyFont="1" applyFill="1" applyBorder="1" applyAlignment="1">
      <alignment/>
    </xf>
    <xf numFmtId="193" fontId="22" fillId="0" borderId="14" xfId="50" applyNumberFormat="1" applyFont="1" applyFill="1" applyBorder="1" applyAlignment="1" applyProtection="1">
      <alignment horizontal="center"/>
      <protection/>
    </xf>
    <xf numFmtId="193" fontId="22" fillId="37" borderId="14" xfId="50" applyNumberFormat="1" applyFont="1" applyFill="1" applyBorder="1" applyAlignment="1" applyProtection="1">
      <alignment horizontal="center"/>
      <protection/>
    </xf>
    <xf numFmtId="193" fontId="22" fillId="38" borderId="14" xfId="50" applyNumberFormat="1" applyFont="1" applyFill="1" applyBorder="1" applyAlignment="1" applyProtection="1">
      <alignment horizontal="center"/>
      <protection/>
    </xf>
    <xf numFmtId="44" fontId="61" fillId="0" borderId="20" xfId="49" applyFont="1" applyFill="1" applyBorder="1" applyAlignment="1">
      <alignment/>
    </xf>
    <xf numFmtId="206" fontId="0" fillId="0" borderId="0" xfId="0" applyNumberFormat="1" applyBorder="1" applyAlignment="1">
      <alignment/>
    </xf>
    <xf numFmtId="44" fontId="40" fillId="0" borderId="0" xfId="49" applyFont="1" applyFill="1" applyBorder="1" applyAlignment="1">
      <alignment/>
    </xf>
    <xf numFmtId="44" fontId="40" fillId="0" borderId="0" xfId="49" applyFont="1" applyBorder="1" applyAlignment="1">
      <alignment/>
    </xf>
    <xf numFmtId="0" fontId="1" fillId="41" borderId="0" xfId="52" applyFont="1" applyFill="1" applyBorder="1" applyAlignment="1">
      <alignment/>
      <protection/>
    </xf>
    <xf numFmtId="0" fontId="21" fillId="0" borderId="0" xfId="0" applyFont="1" applyFill="1" applyAlignment="1">
      <alignment horizontal="center"/>
    </xf>
    <xf numFmtId="0" fontId="21" fillId="0" borderId="0" xfId="0" applyFont="1" applyAlignment="1">
      <alignment horizontal="center"/>
    </xf>
    <xf numFmtId="0" fontId="22" fillId="0" borderId="13" xfId="52" applyFont="1" applyBorder="1" applyAlignment="1">
      <alignment horizontal="centerContinuous"/>
      <protection/>
    </xf>
    <xf numFmtId="41" fontId="22" fillId="0" borderId="13" xfId="48" applyFont="1" applyBorder="1" applyAlignment="1" quotePrefix="1">
      <alignment horizontal="centerContinuous"/>
    </xf>
    <xf numFmtId="202" fontId="1" fillId="0" borderId="15" xfId="50" applyNumberFormat="1" applyFont="1" applyBorder="1" applyAlignment="1">
      <alignment horizontal="center" vertical="center"/>
    </xf>
    <xf numFmtId="0" fontId="1" fillId="0" borderId="0" xfId="52" applyFont="1" applyFill="1" applyBorder="1" applyAlignment="1">
      <alignment horizontal="centerContinuous"/>
      <protection/>
    </xf>
    <xf numFmtId="193" fontId="22" fillId="0" borderId="14" xfId="50" applyNumberFormat="1" applyFont="1" applyFill="1" applyBorder="1" applyAlignment="1">
      <alignment horizontal="center"/>
    </xf>
    <xf numFmtId="0" fontId="22" fillId="0" borderId="26" xfId="0" applyFont="1" applyFill="1" applyBorder="1" applyAlignment="1">
      <alignment horizontal="center"/>
    </xf>
    <xf numFmtId="193" fontId="1" fillId="0" borderId="13" xfId="50" applyNumberFormat="1" applyFont="1" applyFill="1" applyBorder="1" applyAlignment="1">
      <alignment horizontal="center"/>
    </xf>
    <xf numFmtId="193" fontId="1" fillId="37" borderId="13" xfId="50" applyNumberFormat="1" applyFont="1" applyFill="1" applyBorder="1" applyAlignment="1">
      <alignment horizontal="center"/>
    </xf>
    <xf numFmtId="193" fontId="1" fillId="38" borderId="13" xfId="50" applyNumberFormat="1" applyFont="1" applyFill="1" applyBorder="1" applyAlignment="1">
      <alignment horizontal="center"/>
    </xf>
    <xf numFmtId="193" fontId="1" fillId="37" borderId="14" xfId="50" applyNumberFormat="1" applyFont="1" applyFill="1" applyBorder="1" applyAlignment="1">
      <alignment horizontal="center"/>
    </xf>
    <xf numFmtId="193" fontId="1" fillId="38" borderId="14" xfId="50" applyNumberFormat="1" applyFont="1" applyFill="1" applyBorder="1" applyAlignment="1">
      <alignment horizontal="center"/>
    </xf>
    <xf numFmtId="202" fontId="22" fillId="0" borderId="14" xfId="0" applyNumberFormat="1" applyFont="1" applyBorder="1" applyAlignment="1">
      <alignment horizontal="center"/>
    </xf>
    <xf numFmtId="2" fontId="1" fillId="0" borderId="14" xfId="50" applyNumberFormat="1" applyFont="1" applyBorder="1" applyAlignment="1">
      <alignment horizontal="center"/>
    </xf>
    <xf numFmtId="198" fontId="1" fillId="0" borderId="14" xfId="49" applyNumberFormat="1" applyFont="1" applyBorder="1" applyAlignment="1">
      <alignment horizontal="center"/>
    </xf>
    <xf numFmtId="44" fontId="1" fillId="0" borderId="0" xfId="49" applyFont="1" applyBorder="1" applyAlignment="1">
      <alignment horizontal="center"/>
    </xf>
    <xf numFmtId="193" fontId="1" fillId="0" borderId="0" xfId="50" applyNumberFormat="1" applyFont="1" applyBorder="1" applyAlignment="1">
      <alignment horizontal="center"/>
    </xf>
    <xf numFmtId="193" fontId="1" fillId="0" borderId="0" xfId="50" applyNumberFormat="1" applyFont="1" applyFill="1" applyBorder="1" applyAlignment="1">
      <alignment horizontal="center"/>
    </xf>
    <xf numFmtId="2" fontId="26" fillId="0" borderId="0" xfId="50" applyNumberFormat="1" applyFont="1" applyFill="1" applyBorder="1" applyAlignment="1" applyProtection="1">
      <alignment horizontal="center"/>
      <protection/>
    </xf>
    <xf numFmtId="2" fontId="1" fillId="0" borderId="14" xfId="52" applyNumberFormat="1" applyFont="1" applyBorder="1" applyAlignment="1">
      <alignment horizontal="center"/>
      <protection/>
    </xf>
    <xf numFmtId="193" fontId="1" fillId="37" borderId="0" xfId="50" applyNumberFormat="1" applyFont="1" applyFill="1" applyBorder="1" applyAlignment="1">
      <alignment horizontal="center"/>
    </xf>
    <xf numFmtId="164" fontId="1" fillId="0" borderId="64" xfId="50" applyNumberFormat="1" applyFont="1" applyBorder="1" applyAlignment="1">
      <alignment horizontal="center"/>
    </xf>
    <xf numFmtId="193" fontId="1" fillId="0" borderId="31" xfId="50" applyNumberFormat="1" applyFont="1" applyBorder="1" applyAlignment="1">
      <alignment horizontal="center"/>
    </xf>
    <xf numFmtId="164" fontId="1" fillId="0" borderId="0" xfId="50" applyNumberFormat="1" applyFont="1" applyBorder="1" applyAlignment="1">
      <alignment horizontal="center"/>
    </xf>
    <xf numFmtId="164" fontId="22" fillId="0" borderId="64" xfId="50" applyNumberFormat="1" applyFont="1" applyBorder="1" applyAlignment="1">
      <alignment horizontal="center"/>
    </xf>
    <xf numFmtId="193" fontId="22" fillId="0" borderId="31" xfId="50" applyNumberFormat="1" applyFont="1" applyBorder="1" applyAlignment="1">
      <alignment horizontal="center"/>
    </xf>
    <xf numFmtId="202" fontId="22" fillId="0" borderId="14" xfId="50" applyNumberFormat="1" applyFont="1" applyBorder="1" applyAlignment="1">
      <alignment horizontal="center" vertical="center"/>
    </xf>
    <xf numFmtId="1" fontId="0" fillId="0" borderId="0" xfId="52" applyNumberFormat="1" applyFont="1" applyBorder="1" applyAlignment="1">
      <alignment horizontal="center"/>
      <protection/>
    </xf>
    <xf numFmtId="0" fontId="1" fillId="0" borderId="0" xfId="52" applyFont="1" applyBorder="1" applyAlignment="1" quotePrefix="1">
      <alignment horizontal="left"/>
      <protection/>
    </xf>
    <xf numFmtId="1" fontId="1" fillId="0" borderId="0" xfId="52" applyNumberFormat="1" applyFont="1" applyFill="1" applyBorder="1" applyAlignment="1">
      <alignment/>
      <protection/>
    </xf>
    <xf numFmtId="1" fontId="1" fillId="37" borderId="0" xfId="52" applyNumberFormat="1" applyFont="1" applyFill="1" applyBorder="1" applyAlignment="1">
      <alignment/>
      <protection/>
    </xf>
    <xf numFmtId="0" fontId="22" fillId="0" borderId="15" xfId="52" applyFont="1" applyBorder="1" applyAlignment="1">
      <alignment horizontal="center"/>
      <protection/>
    </xf>
    <xf numFmtId="164" fontId="9" fillId="0" borderId="15" xfId="0" applyNumberFormat="1" applyFont="1" applyBorder="1" applyAlignment="1">
      <alignment horizontal="center"/>
    </xf>
    <xf numFmtId="1" fontId="1" fillId="0" borderId="0" xfId="52" applyNumberFormat="1" applyFont="1" applyBorder="1" applyAlignment="1">
      <alignment/>
      <protection/>
    </xf>
    <xf numFmtId="0" fontId="39" fillId="0" borderId="18" xfId="0" applyFont="1" applyBorder="1" applyAlignment="1">
      <alignment/>
    </xf>
    <xf numFmtId="0" fontId="0" fillId="0" borderId="20" xfId="52" applyFont="1" applyBorder="1" applyAlignment="1">
      <alignment/>
      <protection/>
    </xf>
    <xf numFmtId="2" fontId="40" fillId="0" borderId="20" xfId="0" applyNumberFormat="1" applyFont="1" applyBorder="1" applyAlignment="1">
      <alignment/>
    </xf>
    <xf numFmtId="0" fontId="3" fillId="0" borderId="0" xfId="0" applyFont="1" applyAlignment="1">
      <alignment wrapText="1"/>
    </xf>
    <xf numFmtId="0" fontId="3" fillId="0" borderId="14" xfId="0" applyFont="1" applyBorder="1" applyAlignment="1">
      <alignment wrapText="1"/>
    </xf>
    <xf numFmtId="0" fontId="5" fillId="0" borderId="14" xfId="0" applyFont="1" applyBorder="1" applyAlignment="1">
      <alignment wrapText="1"/>
    </xf>
    <xf numFmtId="0" fontId="7" fillId="0" borderId="14" xfId="0" applyFont="1" applyBorder="1" applyAlignment="1">
      <alignment wrapText="1"/>
    </xf>
    <xf numFmtId="6" fontId="3" fillId="0" borderId="14" xfId="0" applyNumberFormat="1" applyFont="1" applyBorder="1" applyAlignment="1">
      <alignment wrapText="1"/>
    </xf>
    <xf numFmtId="0" fontId="9" fillId="0" borderId="12" xfId="0" applyFont="1" applyBorder="1" applyAlignment="1">
      <alignment horizontal="center"/>
    </xf>
    <xf numFmtId="0" fontId="9" fillId="0" borderId="22" xfId="0" applyFont="1" applyBorder="1" applyAlignment="1">
      <alignment horizontal="center"/>
    </xf>
    <xf numFmtId="0" fontId="59" fillId="0" borderId="0" xfId="0" applyFont="1" applyAlignment="1">
      <alignment/>
    </xf>
    <xf numFmtId="0" fontId="63" fillId="0" borderId="85" xfId="0" applyFont="1" applyBorder="1" applyAlignment="1">
      <alignment/>
    </xf>
    <xf numFmtId="0" fontId="63" fillId="0" borderId="86" xfId="0" applyFont="1" applyBorder="1" applyAlignment="1">
      <alignment/>
    </xf>
    <xf numFmtId="0" fontId="63" fillId="0" borderId="87" xfId="0" applyFont="1" applyBorder="1" applyAlignment="1">
      <alignment/>
    </xf>
    <xf numFmtId="0" fontId="63" fillId="0" borderId="88" xfId="0" applyFont="1" applyBorder="1" applyAlignment="1">
      <alignment/>
    </xf>
    <xf numFmtId="0" fontId="60" fillId="0" borderId="89" xfId="0" applyFont="1" applyBorder="1" applyAlignment="1">
      <alignment horizontal="center"/>
    </xf>
    <xf numFmtId="0" fontId="66" fillId="0" borderId="90" xfId="0" applyFont="1" applyBorder="1" applyAlignment="1">
      <alignment/>
    </xf>
    <xf numFmtId="0" fontId="66" fillId="0" borderId="90" xfId="0" applyFont="1" applyBorder="1" applyAlignment="1">
      <alignment horizontal="center"/>
    </xf>
    <xf numFmtId="0" fontId="66" fillId="0" borderId="0" xfId="0" applyFont="1" applyBorder="1" applyAlignment="1">
      <alignment horizontal="center"/>
    </xf>
    <xf numFmtId="0" fontId="66" fillId="0" borderId="27" xfId="0" applyFont="1" applyBorder="1" applyAlignment="1">
      <alignment horizontal="center"/>
    </xf>
    <xf numFmtId="0" fontId="63" fillId="0" borderId="0" xfId="0" applyFont="1" applyBorder="1" applyAlignment="1">
      <alignment/>
    </xf>
    <xf numFmtId="0" fontId="63" fillId="0" borderId="91" xfId="0" applyFont="1" applyBorder="1" applyAlignment="1">
      <alignment/>
    </xf>
    <xf numFmtId="0" fontId="22" fillId="0" borderId="92" xfId="0" applyFont="1" applyBorder="1" applyAlignment="1">
      <alignment horizontal="center"/>
    </xf>
    <xf numFmtId="14" fontId="1" fillId="0" borderId="14" xfId="0" applyNumberFormat="1" applyFont="1" applyBorder="1" applyAlignment="1">
      <alignment/>
    </xf>
    <xf numFmtId="0" fontId="1" fillId="0" borderId="14" xfId="0" applyFont="1" applyBorder="1" applyAlignment="1">
      <alignment/>
    </xf>
    <xf numFmtId="0" fontId="64" fillId="0" borderId="14" xfId="0" applyFont="1" applyBorder="1" applyAlignment="1">
      <alignment/>
    </xf>
    <xf numFmtId="14" fontId="65" fillId="0" borderId="14" xfId="0" applyNumberFormat="1" applyFont="1" applyBorder="1" applyAlignment="1">
      <alignment/>
    </xf>
    <xf numFmtId="0" fontId="65" fillId="0" borderId="14" xfId="0" applyFont="1" applyBorder="1" applyAlignment="1">
      <alignment/>
    </xf>
    <xf numFmtId="2" fontId="1" fillId="0" borderId="14" xfId="0" applyNumberFormat="1" applyFont="1" applyBorder="1" applyAlignment="1">
      <alignment/>
    </xf>
    <xf numFmtId="0" fontId="9" fillId="33" borderId="18" xfId="0" applyFont="1" applyFill="1" applyBorder="1" applyAlignment="1">
      <alignment/>
    </xf>
    <xf numFmtId="9" fontId="9" fillId="33" borderId="19" xfId="0" applyNumberFormat="1" applyFont="1" applyFill="1" applyBorder="1" applyAlignment="1">
      <alignment horizontal="left"/>
    </xf>
    <xf numFmtId="0" fontId="9" fillId="0" borderId="27" xfId="0" applyFont="1" applyBorder="1" applyAlignment="1">
      <alignment horizontal="center"/>
    </xf>
    <xf numFmtId="0" fontId="9" fillId="0" borderId="74" xfId="0" applyFont="1" applyBorder="1" applyAlignment="1">
      <alignment horizontal="center"/>
    </xf>
    <xf numFmtId="0" fontId="9" fillId="0" borderId="21"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168" fontId="0" fillId="0" borderId="17" xfId="0" applyNumberFormat="1" applyBorder="1" applyAlignment="1">
      <alignment/>
    </xf>
    <xf numFmtId="168" fontId="0" fillId="0" borderId="12" xfId="0" applyNumberFormat="1" applyBorder="1" applyAlignment="1">
      <alignment/>
    </xf>
    <xf numFmtId="2" fontId="0" fillId="0" borderId="93" xfId="0" applyNumberFormat="1" applyBorder="1" applyAlignment="1">
      <alignment/>
    </xf>
    <xf numFmtId="168" fontId="0" fillId="0" borderId="21" xfId="0" applyNumberFormat="1" applyBorder="1" applyAlignment="1">
      <alignment/>
    </xf>
    <xf numFmtId="168" fontId="0" fillId="0" borderId="93" xfId="0" applyNumberFormat="1" applyBorder="1" applyAlignment="1">
      <alignment/>
    </xf>
    <xf numFmtId="2" fontId="0" fillId="0" borderId="22" xfId="0" applyNumberFormat="1" applyBorder="1" applyAlignment="1">
      <alignment/>
    </xf>
    <xf numFmtId="2" fontId="0" fillId="0" borderId="30" xfId="0" applyNumberFormat="1" applyBorder="1" applyAlignment="1">
      <alignment/>
    </xf>
    <xf numFmtId="168" fontId="0" fillId="0" borderId="14" xfId="0" applyNumberFormat="1" applyBorder="1" applyAlignment="1">
      <alignment/>
    </xf>
    <xf numFmtId="2" fontId="0" fillId="0" borderId="50" xfId="0" applyNumberFormat="1" applyBorder="1" applyAlignment="1">
      <alignment/>
    </xf>
    <xf numFmtId="168" fontId="0" fillId="0" borderId="29" xfId="0" applyNumberFormat="1" applyBorder="1" applyAlignment="1">
      <alignment/>
    </xf>
    <xf numFmtId="168" fontId="0" fillId="0" borderId="30" xfId="0" applyNumberFormat="1" applyBorder="1" applyAlignment="1">
      <alignment/>
    </xf>
    <xf numFmtId="168" fontId="0" fillId="0" borderId="27" xfId="0" applyNumberFormat="1" applyBorder="1" applyAlignment="1">
      <alignment/>
    </xf>
    <xf numFmtId="168" fontId="0" fillId="0" borderId="0" xfId="0" applyNumberFormat="1" applyBorder="1" applyAlignment="1">
      <alignment/>
    </xf>
    <xf numFmtId="2" fontId="0" fillId="0" borderId="24" xfId="0" applyNumberFormat="1" applyBorder="1" applyAlignment="1">
      <alignment/>
    </xf>
    <xf numFmtId="168" fontId="0" fillId="0" borderId="51" xfId="0" applyNumberFormat="1" applyBorder="1" applyAlignment="1">
      <alignment/>
    </xf>
    <xf numFmtId="168" fontId="0" fillId="0" borderId="53" xfId="0" applyNumberFormat="1" applyBorder="1" applyAlignment="1">
      <alignment/>
    </xf>
    <xf numFmtId="168" fontId="0" fillId="0" borderId="70" xfId="0" applyNumberFormat="1" applyBorder="1" applyAlignment="1">
      <alignment/>
    </xf>
    <xf numFmtId="2" fontId="0" fillId="0" borderId="83" xfId="0" applyNumberFormat="1" applyBorder="1" applyAlignment="1">
      <alignment/>
    </xf>
    <xf numFmtId="168" fontId="0" fillId="0" borderId="23" xfId="0" applyNumberFormat="1" applyBorder="1" applyAlignment="1">
      <alignment/>
    </xf>
    <xf numFmtId="168" fontId="0" fillId="0" borderId="24" xfId="0" applyNumberFormat="1" applyBorder="1" applyAlignment="1">
      <alignment/>
    </xf>
    <xf numFmtId="168" fontId="0" fillId="0" borderId="64" xfId="0" applyNumberFormat="1" applyBorder="1" applyAlignment="1">
      <alignment/>
    </xf>
    <xf numFmtId="0" fontId="0" fillId="0" borderId="70" xfId="0" applyBorder="1" applyAlignment="1">
      <alignment/>
    </xf>
    <xf numFmtId="0" fontId="0" fillId="0" borderId="94" xfId="0" applyBorder="1" applyAlignment="1">
      <alignment/>
    </xf>
    <xf numFmtId="2" fontId="0" fillId="0" borderId="71" xfId="0" applyNumberFormat="1" applyBorder="1" applyAlignment="1">
      <alignment/>
    </xf>
    <xf numFmtId="2" fontId="0" fillId="0" borderId="21" xfId="0" applyNumberFormat="1" applyBorder="1" applyAlignment="1">
      <alignment/>
    </xf>
    <xf numFmtId="0" fontId="9" fillId="0" borderId="0" xfId="0" applyFont="1" applyBorder="1" applyAlignment="1">
      <alignment horizontal="center"/>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33" borderId="0" xfId="0" applyFill="1" applyAlignment="1">
      <alignment/>
    </xf>
    <xf numFmtId="0" fontId="66" fillId="0" borderId="18" xfId="0" applyFont="1" applyBorder="1" applyAlignment="1">
      <alignment horizontal="center"/>
    </xf>
    <xf numFmtId="0" fontId="71" fillId="0" borderId="25" xfId="0" applyFont="1" applyBorder="1" applyAlignment="1">
      <alignment horizontal="center" wrapText="1"/>
    </xf>
    <xf numFmtId="0" fontId="71" fillId="0" borderId="11" xfId="0" applyFont="1" applyBorder="1" applyAlignment="1">
      <alignment horizontal="center" wrapText="1"/>
    </xf>
    <xf numFmtId="0" fontId="71" fillId="0" borderId="19" xfId="0" applyFont="1" applyBorder="1" applyAlignment="1">
      <alignment horizontal="center" wrapText="1"/>
    </xf>
    <xf numFmtId="0" fontId="69" fillId="0" borderId="95" xfId="0" applyFont="1" applyBorder="1" applyAlignment="1">
      <alignment/>
    </xf>
    <xf numFmtId="0" fontId="0" fillId="0" borderId="96" xfId="0" applyBorder="1" applyAlignment="1">
      <alignment/>
    </xf>
    <xf numFmtId="0" fontId="69" fillId="0" borderId="97" xfId="0" applyFont="1" applyBorder="1" applyAlignment="1">
      <alignment/>
    </xf>
    <xf numFmtId="14" fontId="69" fillId="0" borderId="97" xfId="0" applyNumberFormat="1" applyFont="1" applyBorder="1" applyAlignment="1">
      <alignment/>
    </xf>
    <xf numFmtId="0" fontId="69" fillId="0" borderId="98" xfId="0" applyFont="1" applyBorder="1" applyAlignment="1">
      <alignment/>
    </xf>
    <xf numFmtId="0" fontId="68" fillId="0" borderId="98" xfId="0" applyFont="1" applyBorder="1" applyAlignment="1">
      <alignment/>
    </xf>
    <xf numFmtId="0" fontId="66" fillId="0" borderId="19" xfId="0" applyFont="1" applyBorder="1" applyAlignment="1">
      <alignment/>
    </xf>
    <xf numFmtId="0" fontId="66" fillId="0" borderId="20" xfId="0" applyFont="1" applyBorder="1" applyAlignment="1">
      <alignment/>
    </xf>
    <xf numFmtId="14" fontId="0" fillId="0" borderId="14" xfId="0" applyNumberFormat="1" applyFont="1" applyBorder="1" applyAlignment="1">
      <alignment/>
    </xf>
    <xf numFmtId="2" fontId="0" fillId="0" borderId="14" xfId="0" applyNumberFormat="1" applyFont="1" applyBorder="1" applyAlignment="1">
      <alignment/>
    </xf>
    <xf numFmtId="20" fontId="0" fillId="0" borderId="14" xfId="0" applyNumberFormat="1" applyFont="1" applyBorder="1" applyAlignment="1">
      <alignment/>
    </xf>
    <xf numFmtId="0" fontId="0" fillId="0" borderId="14" xfId="0" applyFont="1" applyBorder="1" applyAlignment="1">
      <alignment horizontal="center"/>
    </xf>
    <xf numFmtId="166" fontId="0" fillId="0" borderId="14" xfId="0" applyNumberFormat="1" applyFont="1" applyBorder="1"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2" fontId="3" fillId="34" borderId="57" xfId="0" applyNumberFormat="1" applyFont="1" applyFill="1" applyBorder="1" applyAlignment="1">
      <alignment horizontal="center" vertical="center" wrapText="1"/>
    </xf>
    <xf numFmtId="2" fontId="0" fillId="34" borderId="26" xfId="0" applyNumberFormat="1" applyFill="1" applyBorder="1" applyAlignment="1">
      <alignment horizontal="center" vertical="center" wrapText="1"/>
    </xf>
    <xf numFmtId="0" fontId="3" fillId="34" borderId="57" xfId="0" applyFont="1" applyFill="1" applyBorder="1" applyAlignment="1">
      <alignment horizontal="center" vertical="center" wrapText="1"/>
    </xf>
    <xf numFmtId="0" fontId="0" fillId="34" borderId="26" xfId="0" applyFill="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wrapText="1"/>
    </xf>
    <xf numFmtId="0" fontId="13" fillId="0" borderId="0" xfId="0" applyFont="1" applyAlignment="1">
      <alignment horizontal="center"/>
    </xf>
    <xf numFmtId="0" fontId="4" fillId="0" borderId="0" xfId="0" applyFont="1" applyAlignment="1">
      <alignment horizontal="center"/>
    </xf>
    <xf numFmtId="0" fontId="15" fillId="0" borderId="18" xfId="0" applyFont="1" applyFill="1" applyBorder="1" applyAlignment="1">
      <alignment horizontal="center"/>
    </xf>
    <xf numFmtId="0" fontId="15" fillId="0" borderId="20" xfId="0" applyFont="1" applyFill="1" applyBorder="1" applyAlignment="1">
      <alignment horizontal="center"/>
    </xf>
    <xf numFmtId="0" fontId="15" fillId="0" borderId="58" xfId="0" applyFont="1" applyFill="1" applyBorder="1" applyAlignment="1">
      <alignment horizontal="center"/>
    </xf>
    <xf numFmtId="0" fontId="14" fillId="0" borderId="12" xfId="0" applyFont="1" applyFill="1" applyBorder="1" applyAlignment="1">
      <alignment horizontal="center"/>
    </xf>
    <xf numFmtId="0" fontId="14" fillId="0" borderId="21" xfId="0" applyFont="1" applyFill="1" applyBorder="1" applyAlignment="1">
      <alignment horizontal="center"/>
    </xf>
    <xf numFmtId="0" fontId="14" fillId="0" borderId="22" xfId="0" applyFont="1" applyFill="1" applyBorder="1" applyAlignment="1">
      <alignment horizontal="center"/>
    </xf>
    <xf numFmtId="0" fontId="0" fillId="35" borderId="18" xfId="0" applyFill="1" applyBorder="1" applyAlignment="1">
      <alignment horizontal="center" wrapText="1"/>
    </xf>
    <xf numFmtId="0" fontId="0" fillId="35" borderId="19" xfId="0" applyFill="1" applyBorder="1" applyAlignment="1">
      <alignment horizontal="center" wrapText="1"/>
    </xf>
    <xf numFmtId="0" fontId="38" fillId="45" borderId="18" xfId="0" applyFont="1" applyFill="1" applyBorder="1" applyAlignment="1">
      <alignment horizontal="center"/>
    </xf>
    <xf numFmtId="0" fontId="38" fillId="45" borderId="20" xfId="0" applyFont="1" applyFill="1" applyBorder="1" applyAlignment="1">
      <alignment horizontal="center"/>
    </xf>
    <xf numFmtId="0" fontId="38" fillId="45" borderId="19" xfId="0" applyFont="1" applyFill="1" applyBorder="1" applyAlignment="1">
      <alignment horizontal="center"/>
    </xf>
    <xf numFmtId="0" fontId="0" fillId="35" borderId="57" xfId="0" applyFill="1" applyBorder="1" applyAlignment="1">
      <alignment horizontal="center" wrapText="1"/>
    </xf>
    <xf numFmtId="0" fontId="0" fillId="35" borderId="26" xfId="0" applyFill="1" applyBorder="1" applyAlignment="1">
      <alignment horizontal="center" wrapText="1"/>
    </xf>
    <xf numFmtId="0" fontId="23" fillId="0" borderId="0" xfId="0" applyFont="1" applyBorder="1" applyAlignment="1">
      <alignment horizontal="center" vertical="center"/>
    </xf>
    <xf numFmtId="0" fontId="0" fillId="34" borderId="99" xfId="0" applyFill="1" applyBorder="1" applyAlignment="1">
      <alignment horizontal="center" wrapText="1"/>
    </xf>
    <xf numFmtId="0" fontId="0" fillId="34" borderId="68" xfId="0" applyFill="1" applyBorder="1" applyAlignment="1">
      <alignment horizontal="center" wrapText="1"/>
    </xf>
    <xf numFmtId="0" fontId="41" fillId="40" borderId="12" xfId="0" applyFont="1" applyFill="1" applyBorder="1" applyAlignment="1">
      <alignment horizontal="center"/>
    </xf>
    <xf numFmtId="0" fontId="41" fillId="40" borderId="21" xfId="0" applyFont="1" applyFill="1" applyBorder="1" applyAlignment="1">
      <alignment horizontal="center"/>
    </xf>
    <xf numFmtId="0" fontId="41" fillId="40" borderId="22" xfId="0" applyFont="1" applyFill="1" applyBorder="1" applyAlignment="1">
      <alignment horizontal="center"/>
    </xf>
    <xf numFmtId="0" fontId="41" fillId="40" borderId="27" xfId="0" applyFont="1" applyFill="1" applyBorder="1" applyAlignment="1">
      <alignment horizontal="center"/>
    </xf>
    <xf numFmtId="0" fontId="41" fillId="40" borderId="0" xfId="0" applyFont="1" applyFill="1" applyBorder="1" applyAlignment="1">
      <alignment horizontal="center"/>
    </xf>
    <xf numFmtId="0" fontId="41" fillId="40" borderId="74" xfId="0" applyFont="1" applyFill="1" applyBorder="1" applyAlignment="1">
      <alignment horizontal="center"/>
    </xf>
    <xf numFmtId="0" fontId="50" fillId="40" borderId="27" xfId="0" applyFont="1" applyFill="1" applyBorder="1" applyAlignment="1">
      <alignment horizontal="center"/>
    </xf>
    <xf numFmtId="0" fontId="50" fillId="40" borderId="0" xfId="0" applyFont="1" applyFill="1" applyBorder="1" applyAlignment="1">
      <alignment horizontal="center"/>
    </xf>
    <xf numFmtId="0" fontId="50" fillId="40" borderId="74" xfId="0" applyFont="1" applyFill="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9" xfId="0" applyFont="1" applyBorder="1" applyAlignment="1">
      <alignment horizontal="center"/>
    </xf>
    <xf numFmtId="0" fontId="50" fillId="40" borderId="23" xfId="0" applyFont="1" applyFill="1" applyBorder="1" applyAlignment="1">
      <alignment horizontal="center"/>
    </xf>
    <xf numFmtId="0" fontId="50" fillId="40" borderId="24" xfId="0" applyFont="1" applyFill="1" applyBorder="1" applyAlignment="1">
      <alignment horizontal="center"/>
    </xf>
    <xf numFmtId="0" fontId="50" fillId="40" borderId="25" xfId="0" applyFont="1" applyFill="1" applyBorder="1" applyAlignment="1">
      <alignment horizontal="center"/>
    </xf>
    <xf numFmtId="0" fontId="18" fillId="36" borderId="28" xfId="0" applyFont="1" applyFill="1" applyBorder="1" applyAlignment="1">
      <alignment horizontal="center" vertical="center" wrapText="1"/>
    </xf>
    <xf numFmtId="0" fontId="0" fillId="0" borderId="26" xfId="0" applyBorder="1" applyAlignment="1">
      <alignment horizontal="center" vertical="center" wrapText="1"/>
    </xf>
    <xf numFmtId="0" fontId="51" fillId="0" borderId="0" xfId="0" applyFont="1" applyAlignment="1">
      <alignment horizontal="center"/>
    </xf>
    <xf numFmtId="0" fontId="19" fillId="36" borderId="12" xfId="0" applyFont="1" applyFill="1" applyBorder="1" applyAlignment="1">
      <alignment horizontal="center"/>
    </xf>
    <xf numFmtId="0" fontId="19" fillId="36" borderId="21" xfId="0" applyFont="1" applyFill="1" applyBorder="1" applyAlignment="1">
      <alignment horizontal="center"/>
    </xf>
    <xf numFmtId="0" fontId="7" fillId="36" borderId="57" xfId="0" applyFont="1" applyFill="1" applyBorder="1" applyAlignment="1">
      <alignment horizontal="center" vertical="center" wrapText="1"/>
    </xf>
    <xf numFmtId="0" fontId="7" fillId="36" borderId="28"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18" fillId="36" borderId="57" xfId="0" applyFont="1" applyFill="1" applyBorder="1" applyAlignment="1">
      <alignment horizontal="center" vertical="center" wrapText="1"/>
    </xf>
    <xf numFmtId="0" fontId="9" fillId="0" borderId="10" xfId="0" applyFont="1" applyBorder="1" applyAlignment="1">
      <alignment horizontal="center"/>
    </xf>
    <xf numFmtId="0" fontId="2" fillId="0" borderId="0" xfId="0" applyFont="1" applyAlignment="1">
      <alignment horizontal="center"/>
    </xf>
    <xf numFmtId="0" fontId="22" fillId="0" borderId="18" xfId="52" applyFont="1" applyBorder="1" applyAlignment="1">
      <alignment horizontal="center"/>
      <protection/>
    </xf>
    <xf numFmtId="0" fontId="22" fillId="0" borderId="20" xfId="52" applyFont="1" applyBorder="1" applyAlignment="1">
      <alignment horizontal="center"/>
      <protection/>
    </xf>
    <xf numFmtId="0" fontId="22" fillId="0" borderId="19" xfId="52" applyFont="1" applyBorder="1" applyAlignment="1">
      <alignment horizontal="center"/>
      <protection/>
    </xf>
    <xf numFmtId="2" fontId="22" fillId="0" borderId="18" xfId="0" applyNumberFormat="1" applyFont="1" applyFill="1" applyBorder="1" applyAlignment="1">
      <alignment horizontal="center"/>
    </xf>
    <xf numFmtId="2" fontId="22" fillId="0" borderId="20" xfId="0" applyNumberFormat="1" applyFont="1" applyFill="1" applyBorder="1" applyAlignment="1">
      <alignment horizontal="center"/>
    </xf>
    <xf numFmtId="2" fontId="22" fillId="0" borderId="19" xfId="0" applyNumberFormat="1" applyFont="1" applyFill="1" applyBorder="1" applyAlignment="1">
      <alignment horizontal="center"/>
    </xf>
    <xf numFmtId="2" fontId="22" fillId="0" borderId="45" xfId="0" applyNumberFormat="1" applyFont="1" applyFill="1" applyBorder="1" applyAlignment="1">
      <alignment horizontal="center"/>
    </xf>
    <xf numFmtId="2" fontId="22" fillId="0" borderId="47" xfId="0" applyNumberFormat="1" applyFont="1" applyFill="1" applyBorder="1" applyAlignment="1">
      <alignment horizontal="center"/>
    </xf>
    <xf numFmtId="2" fontId="22" fillId="0" borderId="48" xfId="0" applyNumberFormat="1" applyFont="1" applyFill="1" applyBorder="1" applyAlignment="1">
      <alignment horizontal="center"/>
    </xf>
    <xf numFmtId="0" fontId="41" fillId="0" borderId="0" xfId="0" applyFont="1" applyAlignment="1">
      <alignment horizontal="center"/>
    </xf>
    <xf numFmtId="0" fontId="22" fillId="0" borderId="10" xfId="52" applyFont="1" applyBorder="1" applyAlignment="1">
      <alignment horizontal="center"/>
      <protection/>
    </xf>
    <xf numFmtId="0" fontId="22" fillId="0" borderId="64" xfId="52" applyFont="1" applyBorder="1" applyAlignment="1">
      <alignment horizontal="center"/>
      <protection/>
    </xf>
    <xf numFmtId="0" fontId="22" fillId="0" borderId="30" xfId="52" applyFont="1" applyBorder="1" applyAlignment="1">
      <alignment horizontal="center"/>
      <protection/>
    </xf>
    <xf numFmtId="0" fontId="22" fillId="0" borderId="31" xfId="52" applyFont="1" applyBorder="1" applyAlignment="1">
      <alignment horizontal="center"/>
      <protection/>
    </xf>
    <xf numFmtId="2" fontId="22" fillId="0" borderId="64" xfId="0" applyNumberFormat="1" applyFont="1" applyFill="1" applyBorder="1" applyAlignment="1">
      <alignment horizontal="center"/>
    </xf>
    <xf numFmtId="2" fontId="22" fillId="0" borderId="30" xfId="0" applyNumberFormat="1" applyFont="1" applyFill="1" applyBorder="1" applyAlignment="1">
      <alignment horizontal="center"/>
    </xf>
    <xf numFmtId="2" fontId="22" fillId="0" borderId="31" xfId="0" applyNumberFormat="1" applyFont="1" applyFill="1" applyBorder="1" applyAlignment="1">
      <alignment horizontal="center"/>
    </xf>
    <xf numFmtId="198" fontId="22" fillId="0" borderId="64" xfId="49" applyNumberFormat="1" applyFont="1" applyBorder="1" applyAlignment="1">
      <alignment horizontal="center"/>
    </xf>
    <xf numFmtId="198" fontId="22" fillId="0" borderId="30" xfId="49" applyNumberFormat="1" applyFont="1" applyBorder="1" applyAlignment="1">
      <alignment horizontal="center"/>
    </xf>
    <xf numFmtId="198" fontId="22" fillId="0" borderId="31" xfId="49" applyNumberFormat="1" applyFont="1" applyBorder="1" applyAlignment="1">
      <alignment horizontal="center"/>
    </xf>
    <xf numFmtId="198" fontId="22" fillId="0" borderId="18" xfId="49" applyNumberFormat="1" applyFont="1" applyBorder="1" applyAlignment="1">
      <alignment horizontal="center"/>
    </xf>
    <xf numFmtId="198" fontId="22" fillId="0" borderId="20" xfId="49" applyNumberFormat="1" applyFont="1" applyBorder="1" applyAlignment="1">
      <alignment horizontal="center"/>
    </xf>
    <xf numFmtId="198" fontId="22" fillId="0" borderId="19" xfId="49" applyNumberFormat="1" applyFont="1" applyBorder="1" applyAlignment="1">
      <alignment horizontal="center"/>
    </xf>
    <xf numFmtId="0" fontId="22" fillId="0" borderId="23" xfId="52" applyFont="1" applyBorder="1" applyAlignment="1">
      <alignment horizontal="center"/>
      <protection/>
    </xf>
    <xf numFmtId="0" fontId="22" fillId="0" borderId="24" xfId="52" applyFont="1" applyBorder="1" applyAlignment="1">
      <alignment horizontal="center"/>
      <protection/>
    </xf>
    <xf numFmtId="0" fontId="22" fillId="0" borderId="25" xfId="52" applyFont="1" applyBorder="1" applyAlignment="1">
      <alignment horizontal="center"/>
      <protection/>
    </xf>
    <xf numFmtId="0" fontId="2" fillId="0" borderId="0" xfId="52" applyFont="1" applyFill="1" applyBorder="1" applyAlignment="1">
      <alignment horizontal="center"/>
      <protection/>
    </xf>
    <xf numFmtId="201" fontId="22" fillId="0" borderId="18" xfId="0" applyNumberFormat="1" applyFont="1" applyFill="1" applyBorder="1" applyAlignment="1">
      <alignment horizontal="center"/>
    </xf>
    <xf numFmtId="201" fontId="22" fillId="0" borderId="20" xfId="0" applyNumberFormat="1" applyFont="1" applyFill="1" applyBorder="1" applyAlignment="1">
      <alignment horizontal="center"/>
    </xf>
    <xf numFmtId="201" fontId="22" fillId="0" borderId="19" xfId="0" applyNumberFormat="1" applyFont="1" applyFill="1" applyBorder="1" applyAlignment="1">
      <alignment horizontal="center"/>
    </xf>
    <xf numFmtId="0" fontId="22" fillId="0" borderId="18" xfId="0" applyFont="1" applyBorder="1" applyAlignment="1">
      <alignment horizontal="center"/>
    </xf>
    <xf numFmtId="0" fontId="22" fillId="0" borderId="20" xfId="0" applyFont="1" applyBorder="1" applyAlignment="1">
      <alignment horizontal="center"/>
    </xf>
    <xf numFmtId="0" fontId="22" fillId="0" borderId="19" xfId="0" applyFont="1" applyBorder="1" applyAlignment="1">
      <alignment horizontal="center"/>
    </xf>
    <xf numFmtId="0" fontId="42" fillId="0" borderId="18" xfId="0" applyFont="1" applyBorder="1" applyAlignment="1">
      <alignment horizontal="center"/>
    </xf>
    <xf numFmtId="0" fontId="42" fillId="0" borderId="20" xfId="0" applyFont="1" applyBorder="1" applyAlignment="1">
      <alignment horizontal="center"/>
    </xf>
    <xf numFmtId="0" fontId="42" fillId="0" borderId="19" xfId="0" applyFont="1" applyBorder="1" applyAlignment="1">
      <alignment horizontal="center"/>
    </xf>
    <xf numFmtId="0" fontId="42" fillId="0" borderId="0" xfId="0" applyFont="1" applyAlignment="1">
      <alignment horizontal="center"/>
    </xf>
    <xf numFmtId="0" fontId="13" fillId="0" borderId="0" xfId="0" applyFont="1" applyBorder="1" applyAlignment="1">
      <alignment horizontal="center"/>
    </xf>
    <xf numFmtId="0" fontId="1" fillId="35" borderId="57" xfId="0" applyFont="1" applyFill="1" applyBorder="1" applyAlignment="1">
      <alignment horizontal="center" vertical="center"/>
    </xf>
    <xf numFmtId="0" fontId="0" fillId="0" borderId="26" xfId="0" applyBorder="1" applyAlignment="1">
      <alignment horizontal="center" vertical="center"/>
    </xf>
    <xf numFmtId="0" fontId="1" fillId="35" borderId="18" xfId="0" applyFont="1" applyFill="1" applyBorder="1" applyAlignment="1">
      <alignment horizontal="center"/>
    </xf>
    <xf numFmtId="0" fontId="1" fillId="35" borderId="19" xfId="0" applyFont="1" applyFill="1" applyBorder="1" applyAlignment="1">
      <alignment horizontal="center"/>
    </xf>
    <xf numFmtId="0" fontId="1" fillId="34" borderId="5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26" xfId="0" applyFont="1" applyFill="1" applyBorder="1" applyAlignment="1">
      <alignment horizontal="center" vertical="center"/>
    </xf>
    <xf numFmtId="0" fontId="0" fillId="34" borderId="26" xfId="0" applyFill="1" applyBorder="1" applyAlignment="1">
      <alignment horizontal="center" vertical="center"/>
    </xf>
    <xf numFmtId="0" fontId="0" fillId="34" borderId="28" xfId="0" applyFill="1" applyBorder="1" applyAlignment="1">
      <alignment horizontal="center" vertical="center"/>
    </xf>
    <xf numFmtId="0" fontId="1" fillId="34" borderId="57" xfId="0" applyFont="1" applyFill="1" applyBorder="1" applyAlignment="1">
      <alignment horizontal="center" vertical="center" wrapText="1"/>
    </xf>
    <xf numFmtId="0" fontId="0" fillId="34" borderId="28" xfId="0" applyFill="1" applyBorder="1" applyAlignment="1">
      <alignment horizontal="center" vertical="center" wrapText="1"/>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3" fillId="34" borderId="0" xfId="0" applyFont="1" applyFill="1" applyAlignment="1">
      <alignment horizontal="center"/>
    </xf>
    <xf numFmtId="0" fontId="0" fillId="34" borderId="59" xfId="0" applyFill="1" applyBorder="1" applyAlignment="1">
      <alignment horizontal="center" vertical="center"/>
    </xf>
    <xf numFmtId="0" fontId="33" fillId="0" borderId="64" xfId="0" applyFont="1" applyBorder="1" applyAlignment="1">
      <alignment horizontal="center" wrapText="1"/>
    </xf>
    <xf numFmtId="0" fontId="33" fillId="0" borderId="31" xfId="0" applyFont="1" applyBorder="1" applyAlignment="1">
      <alignment horizontal="center" wrapText="1"/>
    </xf>
    <xf numFmtId="0" fontId="2" fillId="0" borderId="10" xfId="0" applyFont="1" applyBorder="1" applyAlignment="1">
      <alignment horizontal="center" wrapText="1"/>
    </xf>
    <xf numFmtId="0" fontId="1" fillId="0" borderId="64" xfId="0" applyFont="1" applyBorder="1" applyAlignment="1">
      <alignment horizontal="center" wrapText="1"/>
    </xf>
    <xf numFmtId="0" fontId="1" fillId="0" borderId="31" xfId="0" applyFont="1" applyBorder="1" applyAlignment="1">
      <alignment horizontal="center" wrapText="1"/>
    </xf>
    <xf numFmtId="0" fontId="33" fillId="0" borderId="60" xfId="0" applyFont="1" applyBorder="1" applyAlignment="1">
      <alignment wrapText="1"/>
    </xf>
    <xf numFmtId="0" fontId="46" fillId="35" borderId="18" xfId="0" applyFont="1" applyFill="1" applyBorder="1" applyAlignment="1">
      <alignment horizontal="center" textRotation="90"/>
    </xf>
    <xf numFmtId="0" fontId="46" fillId="35" borderId="19" xfId="0" applyFont="1" applyFill="1" applyBorder="1" applyAlignment="1">
      <alignment horizontal="center" textRotation="90"/>
    </xf>
    <xf numFmtId="0" fontId="47" fillId="0" borderId="0" xfId="0" applyFont="1" applyAlignment="1">
      <alignment horizontal="center"/>
    </xf>
    <xf numFmtId="0" fontId="47" fillId="0" borderId="18" xfId="0" applyFont="1" applyBorder="1" applyAlignment="1">
      <alignment horizontal="center"/>
    </xf>
    <xf numFmtId="0" fontId="47" fillId="0" borderId="20" xfId="0" applyFont="1" applyBorder="1" applyAlignment="1">
      <alignment horizontal="center"/>
    </xf>
    <xf numFmtId="0" fontId="47" fillId="0" borderId="19" xfId="0" applyFont="1" applyBorder="1" applyAlignment="1">
      <alignment horizontal="center"/>
    </xf>
    <xf numFmtId="0" fontId="5" fillId="0" borderId="0" xfId="0" applyFont="1" applyAlignment="1">
      <alignment horizontal="center"/>
    </xf>
    <xf numFmtId="0" fontId="34" fillId="0" borderId="0" xfId="0" applyFont="1" applyAlignment="1">
      <alignment horizontal="center"/>
    </xf>
    <xf numFmtId="0" fontId="9" fillId="0" borderId="12" xfId="0" applyFont="1" applyBorder="1" applyAlignment="1">
      <alignment horizontal="center"/>
    </xf>
    <xf numFmtId="0" fontId="9" fillId="0" borderId="22"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xf>
    <xf numFmtId="0" fontId="9" fillId="0" borderId="27" xfId="0" applyFont="1" applyBorder="1" applyAlignment="1">
      <alignment horizontal="center"/>
    </xf>
    <xf numFmtId="0" fontId="9" fillId="0" borderId="74" xfId="0" applyFont="1"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53" fillId="0" borderId="18" xfId="0" applyFont="1" applyBorder="1" applyAlignment="1">
      <alignment horizontal="center"/>
    </xf>
    <xf numFmtId="0" fontId="53" fillId="0" borderId="20" xfId="0" applyFont="1" applyBorder="1" applyAlignment="1">
      <alignment horizontal="center"/>
    </xf>
    <xf numFmtId="0" fontId="53" fillId="0" borderId="19" xfId="0" applyFont="1" applyBorder="1" applyAlignment="1">
      <alignment horizontal="center"/>
    </xf>
    <xf numFmtId="0" fontId="26" fillId="0" borderId="18" xfId="0" applyFont="1" applyFill="1" applyBorder="1" applyAlignment="1">
      <alignment horizontal="center"/>
    </xf>
    <xf numFmtId="0" fontId="26" fillId="0" borderId="20" xfId="0" applyFont="1" applyFill="1" applyBorder="1" applyAlignment="1">
      <alignment horizontal="center"/>
    </xf>
    <xf numFmtId="0" fontId="26" fillId="0" borderId="19" xfId="0" applyFont="1" applyFill="1"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57" xfId="0" applyFont="1" applyBorder="1" applyAlignment="1">
      <alignment horizontal="center" vertical="center"/>
    </xf>
    <xf numFmtId="0" fontId="0" fillId="0" borderId="18"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43" fillId="0" borderId="0" xfId="0" applyFont="1" applyAlignment="1">
      <alignment horizontal="center"/>
    </xf>
    <xf numFmtId="0" fontId="2" fillId="0" borderId="0" xfId="0" applyFont="1" applyBorder="1" applyAlignment="1">
      <alignment horizontal="center"/>
    </xf>
    <xf numFmtId="0" fontId="1" fillId="0" borderId="57"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62" fillId="0" borderId="18" xfId="0" applyFont="1" applyBorder="1" applyAlignment="1">
      <alignment horizontal="center" wrapText="1"/>
    </xf>
    <xf numFmtId="0" fontId="62" fillId="0" borderId="20" xfId="0" applyFont="1" applyBorder="1" applyAlignment="1">
      <alignment horizontal="center" wrapText="1"/>
    </xf>
    <xf numFmtId="0" fontId="62" fillId="0" borderId="19" xfId="0" applyFont="1" applyBorder="1" applyAlignment="1">
      <alignment horizontal="center" wrapText="1"/>
    </xf>
    <xf numFmtId="0" fontId="3" fillId="0" borderId="14" xfId="0" applyFont="1" applyBorder="1" applyAlignment="1">
      <alignment wrapText="1"/>
    </xf>
    <xf numFmtId="0" fontId="49" fillId="0" borderId="0" xfId="0" applyFont="1" applyAlignment="1">
      <alignment horizontal="center"/>
    </xf>
    <xf numFmtId="0" fontId="66" fillId="0" borderId="12" xfId="0" applyFont="1" applyBorder="1" applyAlignment="1">
      <alignment horizontal="center"/>
    </xf>
    <xf numFmtId="0" fontId="66" fillId="0" borderId="21" xfId="0" applyFont="1" applyBorder="1" applyAlignment="1">
      <alignment horizontal="center"/>
    </xf>
    <xf numFmtId="0" fontId="60" fillId="0" borderId="100" xfId="0" applyFont="1" applyBorder="1" applyAlignment="1">
      <alignment horizontal="center" wrapText="1"/>
    </xf>
    <xf numFmtId="0" fontId="0" fillId="0" borderId="89" xfId="0" applyBorder="1" applyAlignment="1">
      <alignment horizontal="center" wrapText="1"/>
    </xf>
    <xf numFmtId="0" fontId="60" fillId="0" borderId="89" xfId="0" applyFont="1" applyBorder="1" applyAlignment="1">
      <alignment horizontal="center" wrapText="1"/>
    </xf>
    <xf numFmtId="0" fontId="60" fillId="0" borderId="57" xfId="0" applyFont="1" applyBorder="1" applyAlignment="1">
      <alignment horizontal="center" wrapText="1"/>
    </xf>
    <xf numFmtId="0" fontId="0" fillId="0" borderId="28" xfId="0" applyBorder="1" applyAlignment="1">
      <alignment horizontal="center" wrapText="1"/>
    </xf>
    <xf numFmtId="0" fontId="60" fillId="0" borderId="101" xfId="0" applyFont="1" applyBorder="1" applyAlignment="1">
      <alignment horizontal="center" wrapText="1"/>
    </xf>
    <xf numFmtId="0" fontId="0" fillId="0" borderId="102" xfId="0" applyBorder="1" applyAlignment="1">
      <alignment horizontal="center" wrapText="1"/>
    </xf>
    <xf numFmtId="0" fontId="66" fillId="0" borderId="18" xfId="0" applyFont="1" applyBorder="1" applyAlignment="1">
      <alignment horizontal="center"/>
    </xf>
    <xf numFmtId="0" fontId="66" fillId="0" borderId="19" xfId="0" applyFont="1" applyBorder="1" applyAlignment="1">
      <alignment horizontal="center"/>
    </xf>
    <xf numFmtId="0" fontId="66" fillId="0" borderId="57" xfId="0" applyFont="1" applyBorder="1" applyAlignment="1">
      <alignment horizontal="center" wrapText="1"/>
    </xf>
    <xf numFmtId="0" fontId="22" fillId="0" borderId="103" xfId="0" applyFont="1" applyBorder="1" applyAlignment="1">
      <alignment horizontal="center"/>
    </xf>
    <xf numFmtId="0" fontId="22" fillId="0" borderId="104" xfId="0" applyFont="1" applyBorder="1" applyAlignment="1">
      <alignment horizontal="center"/>
    </xf>
    <xf numFmtId="0" fontId="43" fillId="0" borderId="18" xfId="0" applyFont="1" applyBorder="1" applyAlignment="1">
      <alignment horizontal="center"/>
    </xf>
    <xf numFmtId="0" fontId="43" fillId="0" borderId="20" xfId="0" applyFont="1" applyBorder="1" applyAlignment="1">
      <alignment horizontal="center"/>
    </xf>
    <xf numFmtId="0" fontId="43" fillId="0" borderId="19" xfId="0" applyFont="1" applyBorder="1" applyAlignment="1">
      <alignment horizontal="center"/>
    </xf>
    <xf numFmtId="0" fontId="2" fillId="42" borderId="0" xfId="0" applyFont="1" applyFill="1" applyAlignment="1">
      <alignment horizontal="center"/>
    </xf>
    <xf numFmtId="0" fontId="2" fillId="43" borderId="0" xfId="0" applyFont="1" applyFill="1" applyAlignment="1">
      <alignment horizontal="center"/>
    </xf>
    <xf numFmtId="0" fontId="67" fillId="44" borderId="0" xfId="0" applyFont="1" applyFill="1" applyAlignment="1">
      <alignment horizontal="center"/>
    </xf>
    <xf numFmtId="0" fontId="69" fillId="0" borderId="105" xfId="0" applyFont="1" applyBorder="1" applyAlignment="1">
      <alignment/>
    </xf>
    <xf numFmtId="0" fontId="69" fillId="0" borderId="106" xfId="0" applyFont="1" applyBorder="1" applyAlignment="1">
      <alignment/>
    </xf>
    <xf numFmtId="0" fontId="69" fillId="0" borderId="107" xfId="0" applyFont="1" applyBorder="1" applyAlignment="1">
      <alignment/>
    </xf>
    <xf numFmtId="0" fontId="69" fillId="0" borderId="95" xfId="0" applyFont="1" applyBorder="1" applyAlignment="1">
      <alignment/>
    </xf>
    <xf numFmtId="0" fontId="69" fillId="0" borderId="96" xfId="0" applyFont="1" applyBorder="1" applyAlignment="1">
      <alignment/>
    </xf>
    <xf numFmtId="0" fontId="69" fillId="0" borderId="97" xfId="0" applyFont="1" applyBorder="1" applyAlignment="1">
      <alignment/>
    </xf>
    <xf numFmtId="0" fontId="2" fillId="33"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GIRASO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COSTOS COMPARADOS; SOJA</a:t>
            </a:r>
          </a:p>
        </c:rich>
      </c:tx>
      <c:layout>
        <c:manualLayout>
          <c:xMode val="factor"/>
          <c:yMode val="factor"/>
          <c:x val="0.00275"/>
          <c:y val="0"/>
        </c:manualLayout>
      </c:layout>
      <c:spPr>
        <a:noFill/>
        <a:ln>
          <a:noFill/>
        </a:ln>
      </c:spPr>
    </c:title>
    <c:view3D>
      <c:rotX val="15"/>
      <c:hPercent val="48"/>
      <c:rotY val="20"/>
      <c:depthPercent val="100"/>
      <c:rAngAx val="1"/>
    </c:view3D>
    <c:plotArea>
      <c:layout>
        <c:manualLayout>
          <c:xMode val="edge"/>
          <c:yMode val="edge"/>
          <c:x val="0.01425"/>
          <c:y val="0.13625"/>
          <c:w val="0.8585"/>
          <c:h val="0.83475"/>
        </c:manualLayout>
      </c:layout>
      <c:bar3DChart>
        <c:barDir val="col"/>
        <c:grouping val="clustered"/>
        <c:varyColors val="0"/>
        <c:ser>
          <c:idx val="0"/>
          <c:order val="0"/>
          <c:tx>
            <c:v>GRUPAL</c:v>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'[3]COSTOS C.'!$F$9:$F$13</c:f>
              <c:strCache>
                <c:ptCount val="5"/>
                <c:pt idx="0">
                  <c:v>    Semilla  70 Kgr/Has.( incluye resiembra) </c:v>
                </c:pt>
                <c:pt idx="1">
                  <c:v>    Herbicida ROUND UP 5 LTS/HA.</c:v>
                </c:pt>
                <c:pt idx="2">
                  <c:v>    Insecticida Endolsulfan  (2 Trat.por 0,90 Lt. / Has.)</c:v>
                </c:pt>
                <c:pt idx="3">
                  <c:v>    Insecticida Cipermetrina    (1 Trat. por 0,06 Lts / Has.) </c:v>
                </c:pt>
                <c:pt idx="4">
                  <c:v>    Inoculante  ( p/80 kgs. Semilla)</c:v>
                </c:pt>
              </c:strCache>
            </c:strRef>
          </c:cat>
          <c:val>
            <c:numRef>
              <c:f>'[3]COSTOS C.'!$I$9:$I$13</c:f>
              <c:numCache>
                <c:ptCount val="5"/>
                <c:pt idx="0">
                  <c:v>31.5</c:v>
                </c:pt>
                <c:pt idx="1">
                  <c:v>24</c:v>
                </c:pt>
                <c:pt idx="2">
                  <c:v>11.700000000000001</c:v>
                </c:pt>
                <c:pt idx="3">
                  <c:v>1.26</c:v>
                </c:pt>
                <c:pt idx="4">
                  <c:v>0.19</c:v>
                </c:pt>
              </c:numCache>
            </c:numRef>
          </c:val>
          <c:shape val="box"/>
        </c:ser>
        <c:ser>
          <c:idx val="1"/>
          <c:order val="1"/>
          <c:tx>
            <c:v>INDIVIDUAL</c:v>
          </c:tx>
          <c:spPr>
            <a:gradFill rotWithShape="1">
              <a:gsLst>
                <a:gs pos="0">
                  <a:srgbClr val="008000"/>
                </a:gs>
                <a:gs pos="100000">
                  <a:srgbClr val="0000FF"/>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'[3]COSTOS C.'!$D$9:$D$13</c:f>
              <c:numCache>
                <c:ptCount val="5"/>
                <c:pt idx="0">
                  <c:v>38.5</c:v>
                </c:pt>
                <c:pt idx="1">
                  <c:v>37.5</c:v>
                </c:pt>
                <c:pt idx="2">
                  <c:v>15.3</c:v>
                </c:pt>
                <c:pt idx="3">
                  <c:v>1.5</c:v>
                </c:pt>
                <c:pt idx="4">
                  <c:v>0.25</c:v>
                </c:pt>
              </c:numCache>
            </c:numRef>
          </c:val>
          <c:shape val="box"/>
        </c:ser>
        <c:shape val="box"/>
        <c:axId val="9384638"/>
        <c:axId val="17352879"/>
      </c:bar3DChart>
      <c:catAx>
        <c:axId val="9384638"/>
        <c:scaling>
          <c:orientation val="minMax"/>
        </c:scaling>
        <c:axPos val="b"/>
        <c:delete val="0"/>
        <c:numFmt formatCode="General" sourceLinked="1"/>
        <c:majorTickMark val="out"/>
        <c:minorTickMark val="none"/>
        <c:tickLblPos val="low"/>
        <c:spPr>
          <a:ln w="3175">
            <a:solidFill>
              <a:srgbClr val="000000"/>
            </a:solidFill>
          </a:ln>
        </c:spPr>
        <c:crossAx val="17352879"/>
        <c:crosses val="autoZero"/>
        <c:auto val="1"/>
        <c:lblOffset val="100"/>
        <c:tickLblSkip val="1"/>
        <c:noMultiLvlLbl val="0"/>
      </c:catAx>
      <c:valAx>
        <c:axId val="17352879"/>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PESOS($)</a:t>
                </a:r>
              </a:p>
            </c:rich>
          </c:tx>
          <c:layout>
            <c:manualLayout>
              <c:xMode val="factor"/>
              <c:yMode val="factor"/>
              <c:x val="-0.0057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84638"/>
        <c:crossesAt val="1"/>
        <c:crossBetween val="between"/>
        <c:dispUnits/>
      </c:valAx>
      <c:spPr>
        <a:noFill/>
        <a:ln>
          <a:noFill/>
        </a:ln>
      </c:spPr>
    </c:plotArea>
    <c:legend>
      <c:legendPos val="r"/>
      <c:layout>
        <c:manualLayout>
          <c:xMode val="edge"/>
          <c:yMode val="edge"/>
          <c:x val="0.88825"/>
          <c:y val="0.4985"/>
          <c:w val="0.1075"/>
          <c:h val="0.11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CONVENCIONAL (2)</a:t>
            </a:r>
          </a:p>
        </c:rich>
      </c:tx>
      <c:layout>
        <c:manualLayout>
          <c:xMode val="factor"/>
          <c:yMode val="factor"/>
          <c:x val="0"/>
          <c:y val="0"/>
        </c:manualLayout>
      </c:layout>
      <c:spPr>
        <a:noFill/>
        <a:ln>
          <a:noFill/>
        </a:ln>
      </c:spPr>
    </c:title>
    <c:plotArea>
      <c:layout>
        <c:manualLayout>
          <c:xMode val="edge"/>
          <c:yMode val="edge"/>
          <c:x val="0.037"/>
          <c:y val="0.1155"/>
          <c:w val="0.952"/>
          <c:h val="0.819"/>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'[1]MAR. B.'!$R$42:$V$42</c:f>
              <c:numCache>
                <c:ptCount val="5"/>
                <c:pt idx="0">
                  <c:v>34.11699514534885</c:v>
                </c:pt>
                <c:pt idx="1">
                  <c:v>75.22264264534886</c:v>
                </c:pt>
                <c:pt idx="2">
                  <c:v>106.05187827034885</c:v>
                </c:pt>
                <c:pt idx="3">
                  <c:v>136.88111389534885</c:v>
                </c:pt>
                <c:pt idx="4">
                  <c:v>157.43393764534886</c:v>
                </c:pt>
              </c:numCache>
            </c:numRef>
          </c:cat>
          <c:val>
            <c:numRef>
              <c:f>'[1]MAR. B.'!$R$7:$V$7</c:f>
              <c:numCache>
                <c:ptCount val="5"/>
                <c:pt idx="0">
                  <c:v>1800</c:v>
                </c:pt>
                <c:pt idx="1">
                  <c:v>2200</c:v>
                </c:pt>
                <c:pt idx="2">
                  <c:v>2500</c:v>
                </c:pt>
                <c:pt idx="3">
                  <c:v>2800</c:v>
                </c:pt>
                <c:pt idx="4">
                  <c:v>3000</c:v>
                </c:pt>
              </c:numCache>
            </c:numRef>
          </c:val>
          <c:smooth val="1"/>
        </c:ser>
        <c:marker val="1"/>
        <c:axId val="16017849"/>
        <c:axId val="9942914"/>
      </c:lineChart>
      <c:catAx>
        <c:axId val="1601784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42914"/>
        <c:crosses val="autoZero"/>
        <c:auto val="0"/>
        <c:lblOffset val="100"/>
        <c:tickLblSkip val="1"/>
        <c:noMultiLvlLbl val="0"/>
      </c:catAx>
      <c:valAx>
        <c:axId val="99429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17849"/>
        <c:crossesAt val="1"/>
        <c:crossBetween val="midCat"/>
        <c:dispUnits/>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DIRECTA(2)</a:t>
            </a:r>
          </a:p>
        </c:rich>
      </c:tx>
      <c:layout>
        <c:manualLayout>
          <c:xMode val="factor"/>
          <c:yMode val="factor"/>
          <c:x val="0"/>
          <c:y val="0"/>
        </c:manualLayout>
      </c:layout>
      <c:spPr>
        <a:noFill/>
        <a:ln>
          <a:noFill/>
        </a:ln>
      </c:spPr>
    </c:title>
    <c:plotArea>
      <c:layout>
        <c:manualLayout>
          <c:xMode val="edge"/>
          <c:yMode val="edge"/>
          <c:x val="0.03675"/>
          <c:y val="0.1165"/>
          <c:w val="0.9525"/>
          <c:h val="0.81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'[1]MAR. B.'!$R$85:$V$85</c:f>
              <c:numCache>
                <c:ptCount val="5"/>
                <c:pt idx="0">
                  <c:v>91.71699514534885</c:v>
                </c:pt>
                <c:pt idx="1">
                  <c:v>132.82264264534882</c:v>
                </c:pt>
                <c:pt idx="2">
                  <c:v>163.65187827034885</c:v>
                </c:pt>
                <c:pt idx="3">
                  <c:v>194.48111389534884</c:v>
                </c:pt>
                <c:pt idx="4">
                  <c:v>215.03393764534883</c:v>
                </c:pt>
              </c:numCache>
            </c:numRef>
          </c:cat>
          <c:val>
            <c:numRef>
              <c:f>'[1]MAR. B.'!$R$55:$V$55</c:f>
              <c:numCache>
                <c:ptCount val="5"/>
                <c:pt idx="0">
                  <c:v>1800</c:v>
                </c:pt>
                <c:pt idx="1">
                  <c:v>2200</c:v>
                </c:pt>
                <c:pt idx="2">
                  <c:v>2500</c:v>
                </c:pt>
                <c:pt idx="3">
                  <c:v>2800</c:v>
                </c:pt>
                <c:pt idx="4">
                  <c:v>3000</c:v>
                </c:pt>
              </c:numCache>
            </c:numRef>
          </c:val>
          <c:smooth val="1"/>
        </c:ser>
        <c:marker val="1"/>
        <c:axId val="22377363"/>
        <c:axId val="69676"/>
      </c:lineChart>
      <c:catAx>
        <c:axId val="223773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676"/>
        <c:crosses val="autoZero"/>
        <c:auto val="0"/>
        <c:lblOffset val="100"/>
        <c:tickLblSkip val="1"/>
        <c:noMultiLvlLbl val="0"/>
      </c:catAx>
      <c:valAx>
        <c:axId val="696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77363"/>
        <c:crossesAt val="1"/>
        <c:crossBetween val="midCat"/>
        <c:dispUnits/>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SORGO (2)</a:t>
            </a:r>
          </a:p>
        </c:rich>
      </c:tx>
      <c:layout>
        <c:manualLayout>
          <c:xMode val="factor"/>
          <c:yMode val="factor"/>
          <c:x val="0.002"/>
          <c:y val="0"/>
        </c:manualLayout>
      </c:layout>
      <c:spPr>
        <a:noFill/>
        <a:ln>
          <a:noFill/>
        </a:ln>
      </c:spPr>
    </c:title>
    <c:plotArea>
      <c:layout>
        <c:manualLayout>
          <c:xMode val="edge"/>
          <c:yMode val="edge"/>
          <c:x val="0.036"/>
          <c:y val="0.11525"/>
          <c:w val="0.9535"/>
          <c:h val="0.8195"/>
        </c:manualLayout>
      </c:layout>
      <c:lineChart>
        <c:grouping val="standard"/>
        <c:varyColors val="0"/>
        <c:ser>
          <c:idx val="0"/>
          <c:order val="0"/>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333333"/>
              </a:solidFill>
              <a:ln>
                <a:solidFill>
                  <a:srgbClr val="333333"/>
                </a:solidFill>
              </a:ln>
            </c:spPr>
          </c:marker>
          <c:cat>
            <c:numRef>
              <c:f>'[1]MAR. B.'!$R$128:$V$128</c:f>
              <c:numCache>
                <c:ptCount val="5"/>
                <c:pt idx="0">
                  <c:v>-2.592482999999987</c:v>
                </c:pt>
                <c:pt idx="1">
                  <c:v>2.6268599999999935</c:v>
                </c:pt>
                <c:pt idx="2">
                  <c:v>7.846203000000031</c:v>
                </c:pt>
                <c:pt idx="3">
                  <c:v>15.675217500000002</c:v>
                </c:pt>
                <c:pt idx="4">
                  <c:v>23.504232000000002</c:v>
                </c:pt>
              </c:numCache>
            </c:numRef>
          </c:cat>
          <c:val>
            <c:numRef>
              <c:f>'[1]MAR. B.'!$R$99:$V$99</c:f>
              <c:numCache>
                <c:ptCount val="5"/>
                <c:pt idx="0">
                  <c:v>3800</c:v>
                </c:pt>
                <c:pt idx="1">
                  <c:v>4000</c:v>
                </c:pt>
                <c:pt idx="2">
                  <c:v>4200</c:v>
                </c:pt>
                <c:pt idx="3">
                  <c:v>4500</c:v>
                </c:pt>
                <c:pt idx="4">
                  <c:v>4800</c:v>
                </c:pt>
              </c:numCache>
            </c:numRef>
          </c:val>
          <c:smooth val="1"/>
        </c:ser>
        <c:marker val="1"/>
        <c:axId val="627085"/>
        <c:axId val="5643766"/>
      </c:lineChart>
      <c:catAx>
        <c:axId val="62708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3766"/>
        <c:crosses val="autoZero"/>
        <c:auto val="0"/>
        <c:lblOffset val="100"/>
        <c:tickLblSkip val="1"/>
        <c:noMultiLvlLbl val="0"/>
      </c:catAx>
      <c:valAx>
        <c:axId val="56437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085"/>
        <c:crossesAt val="1"/>
        <c:crossBetween val="midCat"/>
        <c:dispUnits/>
      </c:valAx>
      <c:spPr>
        <a:gradFill rotWithShape="1">
          <a:gsLst>
            <a:gs pos="0">
              <a:srgbClr val="FFFFFF"/>
            </a:gs>
            <a:gs pos="100000">
              <a:srgbClr val="CCFFFF"/>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GIRASOL DIRECTA</a:t>
            </a:r>
          </a:p>
        </c:rich>
      </c:tx>
      <c:layout>
        <c:manualLayout>
          <c:xMode val="factor"/>
          <c:yMode val="factor"/>
          <c:x val="0"/>
          <c:y val="0"/>
        </c:manualLayout>
      </c:layout>
      <c:spPr>
        <a:noFill/>
        <a:ln>
          <a:noFill/>
        </a:ln>
      </c:spPr>
    </c:title>
    <c:plotArea>
      <c:layout>
        <c:manualLayout>
          <c:xMode val="edge"/>
          <c:yMode val="edge"/>
          <c:x val="0.036"/>
          <c:y val="0.11625"/>
          <c:w val="0.95325"/>
          <c:h val="0.81775"/>
        </c:manualLayout>
      </c:layout>
      <c:lineChart>
        <c:grouping val="standard"/>
        <c:varyColors val="0"/>
        <c:ser>
          <c:idx val="0"/>
          <c:order val="0"/>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'[1]MAR. B.'!$R$170:$V$170</c:f>
              <c:numCache>
                <c:ptCount val="5"/>
                <c:pt idx="0">
                  <c:v>-16.574680000000015</c:v>
                </c:pt>
                <c:pt idx="1">
                  <c:v>-0.37681600000001936</c:v>
                </c:pt>
                <c:pt idx="2">
                  <c:v>23.91998000000001</c:v>
                </c:pt>
                <c:pt idx="3">
                  <c:v>48.21677600000001</c:v>
                </c:pt>
                <c:pt idx="4">
                  <c:v>72.51357200000001</c:v>
                </c:pt>
              </c:numCache>
            </c:numRef>
          </c:cat>
          <c:val>
            <c:numRef>
              <c:f>'[1]MAR. B.'!$R$142:$V$142</c:f>
              <c:numCache>
                <c:ptCount val="5"/>
                <c:pt idx="0">
                  <c:v>1000</c:v>
                </c:pt>
                <c:pt idx="1">
                  <c:v>1200</c:v>
                </c:pt>
                <c:pt idx="2">
                  <c:v>1500</c:v>
                </c:pt>
                <c:pt idx="3">
                  <c:v>1800</c:v>
                </c:pt>
                <c:pt idx="4">
                  <c:v>2100</c:v>
                </c:pt>
              </c:numCache>
            </c:numRef>
          </c:val>
          <c:smooth val="1"/>
        </c:ser>
        <c:marker val="1"/>
        <c:axId val="50793895"/>
        <c:axId val="54491872"/>
      </c:lineChart>
      <c:catAx>
        <c:axId val="5079389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91872"/>
        <c:crosses val="autoZero"/>
        <c:auto val="0"/>
        <c:lblOffset val="100"/>
        <c:tickLblSkip val="1"/>
        <c:noMultiLvlLbl val="0"/>
      </c:catAx>
      <c:valAx>
        <c:axId val="544918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93895"/>
        <c:crossesAt val="1"/>
        <c:crossBetween val="midCat"/>
        <c:dispUnits/>
      </c:valAx>
      <c:spPr>
        <a:gradFill rotWithShape="1">
          <a:gsLst>
            <a:gs pos="0">
              <a:srgbClr val="FFFFFF"/>
            </a:gs>
            <a:gs pos="100000">
              <a:srgbClr val="CCFFCC"/>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GIRASOL CONVENCIONAL</a:t>
            </a:r>
          </a:p>
        </c:rich>
      </c:tx>
      <c:layout>
        <c:manualLayout>
          <c:xMode val="factor"/>
          <c:yMode val="factor"/>
          <c:x val="0"/>
          <c:y val="0"/>
        </c:manualLayout>
      </c:layout>
      <c:spPr>
        <a:noFill/>
        <a:ln>
          <a:noFill/>
        </a:ln>
      </c:spPr>
    </c:title>
    <c:plotArea>
      <c:layout>
        <c:manualLayout>
          <c:xMode val="edge"/>
          <c:yMode val="edge"/>
          <c:x val="0.03875"/>
          <c:y val="0.118"/>
          <c:w val="0.95375"/>
          <c:h val="0.81375"/>
        </c:manualLayout>
      </c:layout>
      <c:lineChart>
        <c:grouping val="standard"/>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cat>
            <c:numRef>
              <c:f>'[1]MAR. B.'!$R$216:$V$216</c:f>
              <c:numCache>
                <c:ptCount val="5"/>
                <c:pt idx="0">
                  <c:v>-48.149519999999995</c:v>
                </c:pt>
                <c:pt idx="1">
                  <c:v>-25.383399999999995</c:v>
                </c:pt>
                <c:pt idx="2">
                  <c:v>-2.617279999999994</c:v>
                </c:pt>
                <c:pt idx="3">
                  <c:v>20.148840000000007</c:v>
                </c:pt>
                <c:pt idx="4">
                  <c:v>42.91496000000001</c:v>
                </c:pt>
              </c:numCache>
            </c:numRef>
          </c:cat>
          <c:val>
            <c:numRef>
              <c:f>'[1]MAR. B.'!$R$182:$V$182</c:f>
              <c:numCache>
                <c:ptCount val="5"/>
                <c:pt idx="0">
                  <c:v>800</c:v>
                </c:pt>
                <c:pt idx="1">
                  <c:v>1000</c:v>
                </c:pt>
                <c:pt idx="2">
                  <c:v>1200</c:v>
                </c:pt>
                <c:pt idx="3">
                  <c:v>1400</c:v>
                </c:pt>
                <c:pt idx="4">
                  <c:v>1600</c:v>
                </c:pt>
              </c:numCache>
            </c:numRef>
          </c:val>
          <c:smooth val="1"/>
        </c:ser>
        <c:marker val="1"/>
        <c:axId val="20664801"/>
        <c:axId val="51765482"/>
      </c:lineChart>
      <c:catAx>
        <c:axId val="2066480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5"/>
              <c:y val="0.00125"/>
            </c:manualLayout>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65482"/>
        <c:crosses val="autoZero"/>
        <c:auto val="0"/>
        <c:lblOffset val="100"/>
        <c:tickLblSkip val="1"/>
        <c:noMultiLvlLbl val="0"/>
      </c:catAx>
      <c:valAx>
        <c:axId val="517654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64801"/>
        <c:crossesAt val="1"/>
        <c:crossBetween val="midCat"/>
        <c:dispUnits/>
      </c:valAx>
      <c:spPr>
        <a:gradFill rotWithShape="1">
          <a:gsLst>
            <a:gs pos="0">
              <a:srgbClr val="FFFF99"/>
            </a:gs>
            <a:gs pos="100000">
              <a:srgbClr val="FFCC0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ARROZ</a:t>
            </a:r>
          </a:p>
        </c:rich>
      </c:tx>
      <c:layout>
        <c:manualLayout>
          <c:xMode val="factor"/>
          <c:yMode val="factor"/>
          <c:x val="0.001"/>
          <c:y val="0"/>
        </c:manualLayout>
      </c:layout>
      <c:spPr>
        <a:noFill/>
        <a:ln>
          <a:noFill/>
        </a:ln>
      </c:spPr>
    </c:title>
    <c:plotArea>
      <c:layout>
        <c:manualLayout>
          <c:xMode val="edge"/>
          <c:yMode val="edge"/>
          <c:x val="0.036"/>
          <c:y val="0.11975"/>
          <c:w val="0.9535"/>
          <c:h val="0.81125"/>
        </c:manualLayout>
      </c:layout>
      <c:lineChart>
        <c:grouping val="standard"/>
        <c:varyColors val="0"/>
        <c:ser>
          <c:idx val="0"/>
          <c:order val="0"/>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FFFFFF"/>
                </a:solidFill>
              </a:ln>
            </c:spPr>
          </c:marker>
          <c:cat>
            <c:numRef>
              <c:f>'[1]MAR. B.'!$R$267:$V$267</c:f>
              <c:numCache>
                <c:ptCount val="5"/>
                <c:pt idx="0">
                  <c:v>184.23016</c:v>
                </c:pt>
                <c:pt idx="1">
                  <c:v>209.54204500000003</c:v>
                </c:pt>
                <c:pt idx="2">
                  <c:v>234.85393</c:v>
                </c:pt>
                <c:pt idx="3">
                  <c:v>260.165815</c:v>
                </c:pt>
                <c:pt idx="4">
                  <c:v>285.4777</c:v>
                </c:pt>
              </c:numCache>
            </c:numRef>
          </c:cat>
          <c:val>
            <c:numRef>
              <c:f>'[1]MAR. B.'!$R$236:$V$236</c:f>
              <c:numCache>
                <c:ptCount val="5"/>
                <c:pt idx="0">
                  <c:v>4000</c:v>
                </c:pt>
                <c:pt idx="1">
                  <c:v>4250</c:v>
                </c:pt>
                <c:pt idx="2">
                  <c:v>4500</c:v>
                </c:pt>
                <c:pt idx="3">
                  <c:v>4750</c:v>
                </c:pt>
                <c:pt idx="4">
                  <c:v>5000</c:v>
                </c:pt>
              </c:numCache>
            </c:numRef>
          </c:val>
          <c:smooth val="0"/>
        </c:ser>
        <c:marker val="1"/>
        <c:axId val="63236155"/>
        <c:axId val="32254484"/>
      </c:lineChart>
      <c:catAx>
        <c:axId val="6323615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 BRUTO</a:t>
                </a:r>
              </a:p>
            </c:rich>
          </c:tx>
          <c:layout>
            <c:manualLayout>
              <c:xMode val="factor"/>
              <c:yMode val="factor"/>
              <c:x val="-0.005"/>
              <c:y val="0.000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54484"/>
        <c:crosses val="autoZero"/>
        <c:auto val="1"/>
        <c:lblOffset val="100"/>
        <c:tickLblSkip val="1"/>
        <c:noMultiLvlLbl val="0"/>
      </c:catAx>
      <c:valAx>
        <c:axId val="322544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236155"/>
        <c:crossesAt val="1"/>
        <c:crossBetween val="between"/>
        <c:dispUnits/>
      </c:valAx>
      <c:spPr>
        <a:gradFill rotWithShape="1">
          <a:gsLst>
            <a:gs pos="0">
              <a:srgbClr val="003366"/>
            </a:gs>
            <a:gs pos="100000">
              <a:srgbClr val="008080"/>
            </a:gs>
          </a:gsLst>
          <a:path path="rect">
            <a:fillToRect t="100000" r="100000"/>
          </a:path>
        </a:gradFill>
        <a:ln w="3175">
          <a:noFill/>
        </a:ln>
      </c:spPr>
    </c:plotArea>
    <c:plotVisOnly val="1"/>
    <c:dispBlanksAs val="gap"/>
    <c:showDLblsOverMax val="0"/>
  </c:chart>
  <c:spPr>
    <a:solidFill>
      <a:srgbClr val="FFFFFF"/>
    </a:solidFill>
    <a:ln w="3175">
      <a:noFill/>
    </a:ln>
  </c:spPr>
  <c:txPr>
    <a:bodyPr vert="horz" rot="0"/>
    <a:lstStyle/>
    <a:p>
      <a:pPr>
        <a:defRPr lang="en-US" cap="none" sz="25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CONVENCIONAL (1)</a:t>
            </a:r>
          </a:p>
        </c:rich>
      </c:tx>
      <c:layout>
        <c:manualLayout>
          <c:xMode val="factor"/>
          <c:yMode val="factor"/>
          <c:x val="-0.00325"/>
          <c:y val="0"/>
        </c:manualLayout>
      </c:layout>
      <c:spPr>
        <a:noFill/>
        <a:ln w="3175">
          <a:noFill/>
        </a:ln>
      </c:spPr>
    </c:title>
    <c:plotArea>
      <c:layout>
        <c:manualLayout>
          <c:xMode val="edge"/>
          <c:yMode val="edge"/>
          <c:x val="0.033"/>
          <c:y val="0.115"/>
          <c:w val="0.95275"/>
          <c:h val="0.82"/>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'[1]MAR. B.'!$F$41:$J$41</c:f>
              <c:numCache>
                <c:ptCount val="5"/>
                <c:pt idx="0">
                  <c:v>66.71132139534885</c:v>
                </c:pt>
                <c:pt idx="1">
                  <c:v>79.82075139534885</c:v>
                </c:pt>
                <c:pt idx="2">
                  <c:v>158.47733139534887</c:v>
                </c:pt>
                <c:pt idx="3">
                  <c:v>197.80562139534885</c:v>
                </c:pt>
                <c:pt idx="4">
                  <c:v>224.02448139534886</c:v>
                </c:pt>
              </c:numCache>
            </c:numRef>
          </c:cat>
          <c:val>
            <c:numRef>
              <c:f>'[1]MAR. B.'!$F$7:$J$7</c:f>
              <c:numCache>
                <c:ptCount val="5"/>
                <c:pt idx="0">
                  <c:v>1800</c:v>
                </c:pt>
                <c:pt idx="1">
                  <c:v>1900</c:v>
                </c:pt>
                <c:pt idx="2">
                  <c:v>2500</c:v>
                </c:pt>
                <c:pt idx="3">
                  <c:v>2800</c:v>
                </c:pt>
                <c:pt idx="4">
                  <c:v>3000</c:v>
                </c:pt>
              </c:numCache>
            </c:numRef>
          </c:val>
          <c:smooth val="1"/>
        </c:ser>
        <c:marker val="1"/>
        <c:axId val="21854901"/>
        <c:axId val="62476382"/>
      </c:lineChart>
      <c:catAx>
        <c:axId val="2185490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476382"/>
        <c:crosses val="autoZero"/>
        <c:auto val="0"/>
        <c:lblOffset val="100"/>
        <c:tickLblSkip val="1"/>
        <c:noMultiLvlLbl val="0"/>
      </c:catAx>
      <c:valAx>
        <c:axId val="624763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54901"/>
        <c:crossesAt val="1"/>
        <c:crossBetween val="midCat"/>
        <c:dispUnits/>
        <c:majorUnit val="200"/>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DIRECTA (1)</a:t>
            </a:r>
          </a:p>
        </c:rich>
      </c:tx>
      <c:layout>
        <c:manualLayout>
          <c:xMode val="factor"/>
          <c:yMode val="factor"/>
          <c:x val="-0.002"/>
          <c:y val="0"/>
        </c:manualLayout>
      </c:layout>
      <c:spPr>
        <a:noFill/>
        <a:ln w="3175">
          <a:noFill/>
        </a:ln>
      </c:spPr>
    </c:title>
    <c:plotArea>
      <c:layout>
        <c:manualLayout>
          <c:xMode val="edge"/>
          <c:yMode val="edge"/>
          <c:x val="0.036"/>
          <c:y val="0.117"/>
          <c:w val="0.9525"/>
          <c:h val="0.81625"/>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cat>
            <c:numRef>
              <c:f>'[1]MAR. B.'!$F$85:$J$85</c:f>
              <c:numCache>
                <c:ptCount val="5"/>
                <c:pt idx="0">
                  <c:v>122.51265639534881</c:v>
                </c:pt>
                <c:pt idx="1">
                  <c:v>128.73407514534884</c:v>
                </c:pt>
                <c:pt idx="2">
                  <c:v>209.61251889534884</c:v>
                </c:pt>
                <c:pt idx="3">
                  <c:v>246.94103139534883</c:v>
                </c:pt>
                <c:pt idx="4">
                  <c:v>271.8267063953488</c:v>
                </c:pt>
              </c:numCache>
            </c:numRef>
          </c:cat>
          <c:val>
            <c:numRef>
              <c:f>'[1]MAR. B.'!$F$55:$J$55</c:f>
              <c:numCache>
                <c:ptCount val="5"/>
                <c:pt idx="0">
                  <c:v>1800</c:v>
                </c:pt>
                <c:pt idx="1">
                  <c:v>1850</c:v>
                </c:pt>
                <c:pt idx="2">
                  <c:v>2500</c:v>
                </c:pt>
                <c:pt idx="3">
                  <c:v>2800</c:v>
                </c:pt>
                <c:pt idx="4">
                  <c:v>3000</c:v>
                </c:pt>
              </c:numCache>
            </c:numRef>
          </c:val>
          <c:smooth val="1"/>
        </c:ser>
        <c:marker val="1"/>
        <c:axId val="25416527"/>
        <c:axId val="27422152"/>
      </c:lineChart>
      <c:catAx>
        <c:axId val="2541652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22152"/>
        <c:crosses val="autoZero"/>
        <c:auto val="0"/>
        <c:lblOffset val="100"/>
        <c:tickLblSkip val="1"/>
        <c:noMultiLvlLbl val="0"/>
      </c:catAx>
      <c:valAx>
        <c:axId val="274221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16527"/>
        <c:crossesAt val="1"/>
        <c:crossBetween val="midCat"/>
        <c:dispUnits/>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4.1.6.5  MARGEN BRUTO SORGO (1)</a:t>
            </a:r>
          </a:p>
        </c:rich>
      </c:tx>
      <c:layout>
        <c:manualLayout>
          <c:xMode val="factor"/>
          <c:yMode val="factor"/>
          <c:x val="-0.001"/>
          <c:y val="0"/>
        </c:manualLayout>
      </c:layout>
      <c:spPr>
        <a:noFill/>
        <a:ln w="3175">
          <a:noFill/>
        </a:ln>
      </c:spPr>
    </c:title>
    <c:plotArea>
      <c:layout>
        <c:manualLayout>
          <c:xMode val="edge"/>
          <c:yMode val="edge"/>
          <c:x val="0.03675"/>
          <c:y val="0.1155"/>
          <c:w val="0.9525"/>
          <c:h val="0.81925"/>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33"/>
              </a:solidFill>
              <a:ln>
                <a:solidFill>
                  <a:srgbClr val="333333"/>
                </a:solidFill>
              </a:ln>
            </c:spPr>
          </c:marker>
          <c:cat>
            <c:numRef>
              <c:f>'[1]MAR. B.'!$F$129:$J$129</c:f>
              <c:numCache>
                <c:ptCount val="5"/>
                <c:pt idx="0">
                  <c:v>27.41801700000002</c:v>
                </c:pt>
                <c:pt idx="1">
                  <c:v>34.21686</c:v>
                </c:pt>
                <c:pt idx="2">
                  <c:v>41.015703</c:v>
                </c:pt>
                <c:pt idx="3">
                  <c:v>51.213967500000024</c:v>
                </c:pt>
                <c:pt idx="4">
                  <c:v>61.41223200000002</c:v>
                </c:pt>
              </c:numCache>
            </c:numRef>
          </c:cat>
          <c:val>
            <c:numRef>
              <c:f>'[1]MAR. B.'!$F$99:$J$99</c:f>
              <c:numCache>
                <c:ptCount val="5"/>
                <c:pt idx="0">
                  <c:v>3800</c:v>
                </c:pt>
                <c:pt idx="1">
                  <c:v>4000</c:v>
                </c:pt>
                <c:pt idx="2">
                  <c:v>4200</c:v>
                </c:pt>
                <c:pt idx="3">
                  <c:v>4500</c:v>
                </c:pt>
                <c:pt idx="4">
                  <c:v>4800</c:v>
                </c:pt>
              </c:numCache>
            </c:numRef>
          </c:val>
          <c:smooth val="1"/>
        </c:ser>
        <c:marker val="1"/>
        <c:axId val="45472777"/>
        <c:axId val="6601810"/>
      </c:lineChart>
      <c:catAx>
        <c:axId val="454727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1810"/>
        <c:crosses val="autoZero"/>
        <c:auto val="0"/>
        <c:lblOffset val="100"/>
        <c:tickLblSkip val="1"/>
        <c:noMultiLvlLbl val="0"/>
      </c:catAx>
      <c:valAx>
        <c:axId val="66018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72777"/>
        <c:crossesAt val="1"/>
        <c:crossBetween val="midCat"/>
        <c:dispUnits/>
        <c:majorUnit val="500"/>
      </c:valAx>
      <c:spPr>
        <a:gradFill rotWithShape="1">
          <a:gsLst>
            <a:gs pos="0">
              <a:srgbClr val="FFFFFF"/>
            </a:gs>
            <a:gs pos="100000">
              <a:srgbClr val="CCFFFF"/>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TRIGO. DIRECTA</a:t>
            </a:r>
          </a:p>
        </c:rich>
      </c:tx>
      <c:layout>
        <c:manualLayout>
          <c:xMode val="factor"/>
          <c:yMode val="factor"/>
          <c:x val="-0.02975"/>
          <c:y val="0.0195"/>
        </c:manualLayout>
      </c:layout>
      <c:spPr>
        <a:noFill/>
        <a:ln w="3175">
          <a:noFill/>
        </a:ln>
      </c:spPr>
    </c:title>
    <c:plotArea>
      <c:layout>
        <c:manualLayout>
          <c:xMode val="edge"/>
          <c:yMode val="edge"/>
          <c:x val="0.037"/>
          <c:y val="0.11625"/>
          <c:w val="0.9525"/>
          <c:h val="0.81825"/>
        </c:manualLayout>
      </c:layout>
      <c:lineChart>
        <c:grouping val="standard"/>
        <c:varyColors val="0"/>
        <c:ser>
          <c:idx val="0"/>
          <c:order val="0"/>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FF"/>
              </a:solidFill>
              <a:ln>
                <a:solidFill>
                  <a:srgbClr val="0000FF"/>
                </a:solidFill>
              </a:ln>
              <a:effectLst>
                <a:outerShdw dist="35921" dir="2700000" algn="br">
                  <a:prstClr val="black"/>
                </a:outerShdw>
              </a:effectLst>
            </c:spPr>
          </c:marker>
          <c:cat>
            <c:numRef>
              <c:f>'[1]MAR. B.'!$F$168:$J$168</c:f>
              <c:numCache>
                <c:ptCount val="5"/>
                <c:pt idx="0">
                  <c:v>18.8911085</c:v>
                </c:pt>
                <c:pt idx="1">
                  <c:v>23.81261624999999</c:v>
                </c:pt>
                <c:pt idx="2">
                  <c:v>31.194877875000003</c:v>
                </c:pt>
                <c:pt idx="3">
                  <c:v>38.5771395</c:v>
                </c:pt>
                <c:pt idx="4">
                  <c:v>73.02769375</c:v>
                </c:pt>
              </c:numCache>
            </c:numRef>
          </c:cat>
          <c:val>
            <c:numRef>
              <c:f>'[1]MAR. B.'!$F$140:$J$140</c:f>
              <c:numCache>
                <c:ptCount val="5"/>
                <c:pt idx="0">
                  <c:v>1400</c:v>
                </c:pt>
                <c:pt idx="1">
                  <c:v>1500</c:v>
                </c:pt>
                <c:pt idx="2">
                  <c:v>1650</c:v>
                </c:pt>
                <c:pt idx="3">
                  <c:v>1800</c:v>
                </c:pt>
                <c:pt idx="4">
                  <c:v>2500</c:v>
                </c:pt>
              </c:numCache>
            </c:numRef>
          </c:val>
          <c:smooth val="1"/>
        </c:ser>
        <c:marker val="1"/>
        <c:axId val="59416291"/>
        <c:axId val="64984572"/>
      </c:lineChart>
      <c:catAx>
        <c:axId val="5941629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
            </c:manualLayout>
          </c:layout>
          <c:overlay val="0"/>
          <c:spPr>
            <a:noFill/>
            <a:ln w="3175">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84572"/>
        <c:crosses val="autoZero"/>
        <c:auto val="0"/>
        <c:lblOffset val="100"/>
        <c:tickLblSkip val="1"/>
        <c:noMultiLvlLbl val="0"/>
      </c:catAx>
      <c:valAx>
        <c:axId val="649845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416291"/>
        <c:crossesAt val="1"/>
        <c:crossBetween val="midCat"/>
        <c:dispUnits/>
      </c:valAx>
      <c:spPr>
        <a:gradFill rotWithShape="1">
          <a:gsLst>
            <a:gs pos="0">
              <a:srgbClr val="FFFFFF"/>
            </a:gs>
            <a:gs pos="100000">
              <a:srgbClr val="CCFFCC"/>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COSTOS COMPARADOS; SORGO</a:t>
            </a:r>
          </a:p>
        </c:rich>
      </c:tx>
      <c:layout>
        <c:manualLayout>
          <c:xMode val="factor"/>
          <c:yMode val="factor"/>
          <c:x val="0"/>
          <c:y val="0"/>
        </c:manualLayout>
      </c:layout>
      <c:spPr>
        <a:noFill/>
        <a:ln>
          <a:noFill/>
        </a:ln>
      </c:spPr>
    </c:title>
    <c:view3D>
      <c:rotX val="15"/>
      <c:rotY val="20"/>
      <c:depthPercent val="100"/>
      <c:rAngAx val="0"/>
      <c:perspective val="30"/>
    </c:view3D>
    <c:plotArea>
      <c:layout>
        <c:manualLayout>
          <c:xMode val="edge"/>
          <c:yMode val="edge"/>
          <c:x val="0.0155"/>
          <c:y val="0.1255"/>
          <c:w val="0.846"/>
          <c:h val="0.8525"/>
        </c:manualLayout>
      </c:layout>
      <c:bar3DChart>
        <c:barDir val="col"/>
        <c:grouping val="standard"/>
        <c:varyColors val="0"/>
        <c:ser>
          <c:idx val="0"/>
          <c:order val="0"/>
          <c:tx>
            <c:v>GRUPAL</c:v>
          </c:tx>
          <c:spPr>
            <a:pattFill prst="weave">
              <a:fgClr>
                <a:srgbClr val="000000"/>
              </a:fgClr>
              <a:bgClr>
                <a:srgbClr val="969696"/>
              </a:bgClr>
            </a:pattFill>
            <a:ln w="12700">
              <a:solidFill>
                <a:srgbClr val="000000"/>
              </a:solidFill>
            </a:ln>
          </c:spPr>
          <c:invertIfNegative val="0"/>
          <c:extLst>
            <c:ext xmlns:c14="http://schemas.microsoft.com/office/drawing/2007/8/2/chart" uri="{6F2FDCE9-48DA-4B69-8628-5D25D57E5C99}">
              <c14:invertSolidFillFmt>
                <c14:spPr>
                  <a:solidFill>
                    <a:srgbClr val="969696"/>
                  </a:solidFill>
                </c14:spPr>
              </c14:invertSolidFillFmt>
            </c:ext>
          </c:extLst>
          <c:cat>
            <c:strRef>
              <c:f>'[3]COSTOS C.'!$F$36:$F$39</c:f>
              <c:strCache>
                <c:ptCount val="4"/>
                <c:pt idx="0">
                  <c:v>    Semilla  7 Kgr/Has.( incluye resiembra) </c:v>
                </c:pt>
                <c:pt idx="1">
                  <c:v>    Herbicida Round up 2lts/ha</c:v>
                </c:pt>
                <c:pt idx="2">
                  <c:v>    Insecticida Cipermetrina    (1 Trat. por 0,06 Lts / Has.) </c:v>
                </c:pt>
                <c:pt idx="3">
                  <c:v>    Atrazina 5 lts/ha</c:v>
                </c:pt>
              </c:strCache>
            </c:strRef>
          </c:cat>
          <c:val>
            <c:numRef>
              <c:f>'[3]COSTOS C.'!$I$36:$I$39</c:f>
              <c:numCache>
                <c:ptCount val="4"/>
                <c:pt idx="0">
                  <c:v>12.6</c:v>
                </c:pt>
                <c:pt idx="1">
                  <c:v>9.6</c:v>
                </c:pt>
                <c:pt idx="2">
                  <c:v>1.08</c:v>
                </c:pt>
                <c:pt idx="3">
                  <c:v>36</c:v>
                </c:pt>
              </c:numCache>
            </c:numRef>
          </c:val>
          <c:shape val="box"/>
        </c:ser>
        <c:ser>
          <c:idx val="1"/>
          <c:order val="1"/>
          <c:tx>
            <c:v>INDIVIDUAL</c:v>
          </c:tx>
          <c:spPr>
            <a:pattFill prst="plaid">
              <a:fgClr>
                <a:srgbClr val="333300"/>
              </a:fgClr>
              <a:bgClr>
                <a:srgbClr val="0000FF"/>
              </a:bgClr>
            </a:pattFill>
            <a:ln w="12700">
              <a:solidFill>
                <a:srgbClr val="000000"/>
              </a:solidFill>
            </a:ln>
          </c:spPr>
          <c:invertIfNegative val="0"/>
          <c:extLst>
            <c:ext xmlns:c14="http://schemas.microsoft.com/office/drawing/2007/8/2/chart" uri="{6F2FDCE9-48DA-4B69-8628-5D25D57E5C99}">
              <c14:invertSolidFillFmt>
                <c14:spPr>
                  <a:solidFill>
                    <a:srgbClr val="0000FF"/>
                  </a:solidFill>
                </c14:spPr>
              </c14:invertSolidFillFmt>
            </c:ext>
          </c:extLst>
          <c:val>
            <c:numRef>
              <c:f>'[3]COSTOS C.'!$D$36:$D$39</c:f>
              <c:numCache>
                <c:ptCount val="4"/>
                <c:pt idx="0">
                  <c:v>15.400000000000002</c:v>
                </c:pt>
                <c:pt idx="1">
                  <c:v>15</c:v>
                </c:pt>
                <c:pt idx="2">
                  <c:v>1.26</c:v>
                </c:pt>
                <c:pt idx="3">
                  <c:v>48</c:v>
                </c:pt>
              </c:numCache>
            </c:numRef>
          </c:val>
          <c:shape val="box"/>
        </c:ser>
        <c:shape val="box"/>
        <c:axId val="21958184"/>
        <c:axId val="63405929"/>
        <c:axId val="33782450"/>
      </c:bar3DChart>
      <c:catAx>
        <c:axId val="21958184"/>
        <c:scaling>
          <c:orientation val="minMax"/>
        </c:scaling>
        <c:axPos val="b"/>
        <c:delete val="0"/>
        <c:numFmt formatCode="General" sourceLinked="1"/>
        <c:majorTickMark val="out"/>
        <c:minorTickMark val="none"/>
        <c:tickLblPos val="low"/>
        <c:spPr>
          <a:ln w="3175">
            <a:solidFill>
              <a:srgbClr val="000000"/>
            </a:solidFill>
          </a:ln>
        </c:spPr>
        <c:crossAx val="63405929"/>
        <c:crosses val="autoZero"/>
        <c:auto val="1"/>
        <c:lblOffset val="100"/>
        <c:tickLblSkip val="1"/>
        <c:noMultiLvlLbl val="0"/>
      </c:catAx>
      <c:valAx>
        <c:axId val="63405929"/>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PESOS($)</a:t>
                </a:r>
              </a:p>
            </c:rich>
          </c:tx>
          <c:layout>
            <c:manualLayout>
              <c:xMode val="factor"/>
              <c:yMode val="factor"/>
              <c:x val="-0.00625"/>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58184"/>
        <c:crossesAt val="1"/>
        <c:crossBetween val="between"/>
        <c:dispUnits/>
      </c:valAx>
      <c:serAx>
        <c:axId val="33782450"/>
        <c:scaling>
          <c:orientation val="minMax"/>
        </c:scaling>
        <c:axPos val="b"/>
        <c:delete val="0"/>
        <c:numFmt formatCode="General" sourceLinked="1"/>
        <c:majorTickMark val="out"/>
        <c:minorTickMark val="none"/>
        <c:tickLblPos val="low"/>
        <c:spPr>
          <a:ln w="3175">
            <a:solidFill>
              <a:srgbClr val="000000"/>
            </a:solidFill>
          </a:ln>
        </c:spPr>
        <c:crossAx val="63405929"/>
        <c:crosses val="autoZero"/>
        <c:tickLblSkip val="1"/>
        <c:tickMarkSkip val="1"/>
      </c:serAx>
      <c:spPr>
        <a:noFill/>
        <a:ln>
          <a:noFill/>
        </a:ln>
      </c:spPr>
    </c:plotArea>
    <c:legend>
      <c:legendPos val="r"/>
      <c:layout>
        <c:manualLayout>
          <c:xMode val="edge"/>
          <c:yMode val="edge"/>
          <c:x val="0.879"/>
          <c:y val="0.50875"/>
          <c:w val="0.1165"/>
          <c:h val="0.08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ALGODON</a:t>
            </a:r>
          </a:p>
        </c:rich>
      </c:tx>
      <c:layout>
        <c:manualLayout>
          <c:xMode val="factor"/>
          <c:yMode val="factor"/>
          <c:x val="-0.001"/>
          <c:y val="0"/>
        </c:manualLayout>
      </c:layout>
      <c:spPr>
        <a:noFill/>
        <a:ln w="3175">
          <a:noFill/>
        </a:ln>
      </c:spPr>
    </c:title>
    <c:plotArea>
      <c:layout>
        <c:manualLayout>
          <c:xMode val="edge"/>
          <c:yMode val="edge"/>
          <c:x val="0.03"/>
          <c:y val="0.12075"/>
          <c:w val="0.87075"/>
          <c:h val="0.81925"/>
        </c:manualLayout>
      </c:layout>
      <c:lineChart>
        <c:grouping val="standard"/>
        <c:varyColors val="0"/>
        <c:ser>
          <c:idx val="0"/>
          <c:order val="0"/>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FFFF"/>
                </a:solidFill>
              </a:ln>
              <a:effectLst>
                <a:outerShdw dist="35921" dir="2700000" algn="br">
                  <a:prstClr val="black"/>
                </a:outerShdw>
              </a:effectLst>
            </c:spPr>
          </c:marker>
          <c:cat>
            <c:numRef>
              <c:f>'[1]MAR. B.'!$E$227:$J$227</c:f>
              <c:numCache>
                <c:ptCount val="5"/>
                <c:pt idx="1">
                  <c:v>-152.5697715000001</c:v>
                </c:pt>
                <c:pt idx="2">
                  <c:v>-131.70358250000004</c:v>
                </c:pt>
                <c:pt idx="3">
                  <c:v>-105.62084625000006</c:v>
                </c:pt>
                <c:pt idx="4">
                  <c:v>-79.53811000000007</c:v>
                </c:pt>
              </c:numCache>
            </c:numRef>
          </c:cat>
          <c:val>
            <c:numRef>
              <c:f>'[1]MAR. B.'!$F$182:$J$182</c:f>
              <c:numCache>
                <c:ptCount val="5"/>
                <c:pt idx="0">
                  <c:v>1300</c:v>
                </c:pt>
                <c:pt idx="1">
                  <c:v>1500</c:v>
                </c:pt>
                <c:pt idx="2">
                  <c:v>1750</c:v>
                </c:pt>
                <c:pt idx="3">
                  <c:v>2000</c:v>
                </c:pt>
                <c:pt idx="4">
                  <c:v>2300</c:v>
                </c:pt>
              </c:numCache>
            </c:numRef>
          </c:val>
          <c:smooth val="1"/>
        </c:ser>
        <c:marker val="1"/>
        <c:axId val="47990237"/>
        <c:axId val="29258950"/>
      </c:lineChart>
      <c:catAx>
        <c:axId val="479902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5"/>
              <c:y val="0.00125"/>
            </c:manualLayout>
          </c:layout>
          <c:overlay val="0"/>
          <c:spPr>
            <a:noFill/>
            <a:ln w="3175">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258950"/>
        <c:crosses val="autoZero"/>
        <c:auto val="0"/>
        <c:lblOffset val="100"/>
        <c:tickLblSkip val="1"/>
        <c:noMultiLvlLbl val="0"/>
      </c:catAx>
      <c:valAx>
        <c:axId val="292589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725"/>
              <c:y val="-0.003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90237"/>
        <c:crossesAt val="1"/>
        <c:crossBetween val="midCat"/>
        <c:dispUnits/>
      </c:valAx>
      <c:spPr>
        <a:gradFill rotWithShape="1">
          <a:gsLst>
            <a:gs pos="0">
              <a:srgbClr val="00FFFF"/>
            </a:gs>
            <a:gs pos="100000">
              <a:srgbClr val="00808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MAIZ</a:t>
            </a:r>
          </a:p>
        </c:rich>
      </c:tx>
      <c:layout>
        <c:manualLayout>
          <c:xMode val="factor"/>
          <c:yMode val="factor"/>
          <c:x val="0"/>
          <c:y val="0"/>
        </c:manualLayout>
      </c:layout>
      <c:spPr>
        <a:noFill/>
        <a:ln w="3175">
          <a:noFill/>
        </a:ln>
      </c:spPr>
    </c:title>
    <c:plotArea>
      <c:layout>
        <c:manualLayout>
          <c:xMode val="edge"/>
          <c:yMode val="edge"/>
          <c:x val="0.036"/>
          <c:y val="0.11525"/>
          <c:w val="0.9535"/>
          <c:h val="0.819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'[1]MAR. B.'!$E$267:$J$267</c:f>
              <c:numCache>
                <c:ptCount val="5"/>
                <c:pt idx="1">
                  <c:v>7.217839999999995</c:v>
                </c:pt>
                <c:pt idx="2">
                  <c:v>17.742512000000033</c:v>
                </c:pt>
                <c:pt idx="3">
                  <c:v>24.758960000000002</c:v>
                </c:pt>
                <c:pt idx="4">
                  <c:v>33.52951999999999</c:v>
                </c:pt>
              </c:numCache>
            </c:numRef>
          </c:cat>
          <c:val>
            <c:numRef>
              <c:f>'[1]MAR. B.'!$F$237:$J$237</c:f>
              <c:numCache>
                <c:ptCount val="5"/>
                <c:pt idx="0">
                  <c:v>3500</c:v>
                </c:pt>
                <c:pt idx="1">
                  <c:v>3800</c:v>
                </c:pt>
                <c:pt idx="2">
                  <c:v>4000</c:v>
                </c:pt>
                <c:pt idx="3">
                  <c:v>4250</c:v>
                </c:pt>
                <c:pt idx="4">
                  <c:v>4750</c:v>
                </c:pt>
              </c:numCache>
            </c:numRef>
          </c:val>
          <c:smooth val="1"/>
        </c:ser>
        <c:marker val="1"/>
        <c:axId val="62003959"/>
        <c:axId val="21164720"/>
      </c:lineChart>
      <c:catAx>
        <c:axId val="620039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64720"/>
        <c:crosses val="autoZero"/>
        <c:auto val="0"/>
        <c:lblOffset val="100"/>
        <c:tickLblSkip val="1"/>
        <c:noMultiLvlLbl val="0"/>
      </c:catAx>
      <c:valAx>
        <c:axId val="211647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03959"/>
        <c:crossesAt val="1"/>
        <c:crossBetween val="midCat"/>
        <c:dispUnits/>
      </c:valAx>
      <c:spPr>
        <a:gradFill rotWithShape="1">
          <a:gsLst>
            <a:gs pos="0">
              <a:srgbClr val="003300"/>
            </a:gs>
            <a:gs pos="100000">
              <a:srgbClr val="339966"/>
            </a:gs>
          </a:gsLst>
          <a:path path="rect">
            <a:fillToRect t="100000" r="100000"/>
          </a:path>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CONVENCIONAL (2)</a:t>
            </a:r>
          </a:p>
        </c:rich>
      </c:tx>
      <c:layout>
        <c:manualLayout>
          <c:xMode val="factor"/>
          <c:yMode val="factor"/>
          <c:x val="0"/>
          <c:y val="0"/>
        </c:manualLayout>
      </c:layout>
      <c:spPr>
        <a:noFill/>
        <a:ln w="3175">
          <a:noFill/>
        </a:ln>
      </c:spPr>
    </c:title>
    <c:plotArea>
      <c:layout>
        <c:manualLayout>
          <c:xMode val="edge"/>
          <c:yMode val="edge"/>
          <c:x val="0.037"/>
          <c:y val="0.115"/>
          <c:w val="0.952"/>
          <c:h val="0.8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'[1]MAR. B.'!$R$42:$V$42</c:f>
              <c:numCache>
                <c:ptCount val="5"/>
                <c:pt idx="0">
                  <c:v>34.11699514534885</c:v>
                </c:pt>
                <c:pt idx="1">
                  <c:v>75.22264264534886</c:v>
                </c:pt>
                <c:pt idx="2">
                  <c:v>106.05187827034885</c:v>
                </c:pt>
                <c:pt idx="3">
                  <c:v>136.88111389534885</c:v>
                </c:pt>
                <c:pt idx="4">
                  <c:v>157.43393764534886</c:v>
                </c:pt>
              </c:numCache>
            </c:numRef>
          </c:cat>
          <c:val>
            <c:numRef>
              <c:f>'[1]MAR. B.'!$R$7:$V$7</c:f>
              <c:numCache>
                <c:ptCount val="5"/>
                <c:pt idx="0">
                  <c:v>1800</c:v>
                </c:pt>
                <c:pt idx="1">
                  <c:v>2200</c:v>
                </c:pt>
                <c:pt idx="2">
                  <c:v>2500</c:v>
                </c:pt>
                <c:pt idx="3">
                  <c:v>2800</c:v>
                </c:pt>
                <c:pt idx="4">
                  <c:v>3000</c:v>
                </c:pt>
              </c:numCache>
            </c:numRef>
          </c:val>
          <c:smooth val="1"/>
        </c:ser>
        <c:marker val="1"/>
        <c:axId val="56264753"/>
        <c:axId val="36620730"/>
      </c:lineChart>
      <c:catAx>
        <c:axId val="5626475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20730"/>
        <c:crosses val="autoZero"/>
        <c:auto val="0"/>
        <c:lblOffset val="100"/>
        <c:tickLblSkip val="1"/>
        <c:noMultiLvlLbl val="0"/>
      </c:catAx>
      <c:valAx>
        <c:axId val="366207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64753"/>
        <c:crossesAt val="1"/>
        <c:crossBetween val="midCat"/>
        <c:dispUnits/>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DIRECTA(2)</a:t>
            </a:r>
          </a:p>
        </c:rich>
      </c:tx>
      <c:layout>
        <c:manualLayout>
          <c:xMode val="factor"/>
          <c:yMode val="factor"/>
          <c:x val="0"/>
          <c:y val="0"/>
        </c:manualLayout>
      </c:layout>
      <c:spPr>
        <a:noFill/>
        <a:ln w="3175">
          <a:noFill/>
        </a:ln>
      </c:spPr>
    </c:title>
    <c:plotArea>
      <c:layout>
        <c:manualLayout>
          <c:xMode val="edge"/>
          <c:yMode val="edge"/>
          <c:x val="0.03675"/>
          <c:y val="0.116"/>
          <c:w val="0.9515"/>
          <c:h val="0.81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'[1]MAR. B.'!$R$85:$V$85</c:f>
              <c:numCache>
                <c:ptCount val="5"/>
                <c:pt idx="0">
                  <c:v>91.71699514534885</c:v>
                </c:pt>
                <c:pt idx="1">
                  <c:v>132.82264264534882</c:v>
                </c:pt>
                <c:pt idx="2">
                  <c:v>163.65187827034885</c:v>
                </c:pt>
                <c:pt idx="3">
                  <c:v>194.48111389534884</c:v>
                </c:pt>
                <c:pt idx="4">
                  <c:v>215.03393764534883</c:v>
                </c:pt>
              </c:numCache>
            </c:numRef>
          </c:cat>
          <c:val>
            <c:numRef>
              <c:f>'[1]MAR. B.'!$R$55:$V$55</c:f>
              <c:numCache>
                <c:ptCount val="5"/>
                <c:pt idx="0">
                  <c:v>1800</c:v>
                </c:pt>
                <c:pt idx="1">
                  <c:v>2200</c:v>
                </c:pt>
                <c:pt idx="2">
                  <c:v>2500</c:v>
                </c:pt>
                <c:pt idx="3">
                  <c:v>2800</c:v>
                </c:pt>
                <c:pt idx="4">
                  <c:v>3000</c:v>
                </c:pt>
              </c:numCache>
            </c:numRef>
          </c:val>
          <c:smooth val="1"/>
        </c:ser>
        <c:marker val="1"/>
        <c:axId val="61151115"/>
        <c:axId val="13489124"/>
      </c:lineChart>
      <c:catAx>
        <c:axId val="6115111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89124"/>
        <c:crosses val="autoZero"/>
        <c:auto val="0"/>
        <c:lblOffset val="100"/>
        <c:tickLblSkip val="1"/>
        <c:noMultiLvlLbl val="0"/>
      </c:catAx>
      <c:valAx>
        <c:axId val="134891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151115"/>
        <c:crossesAt val="1"/>
        <c:crossBetween val="midCat"/>
        <c:dispUnits/>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SORGO (2)</a:t>
            </a:r>
          </a:p>
        </c:rich>
      </c:tx>
      <c:layout>
        <c:manualLayout>
          <c:xMode val="factor"/>
          <c:yMode val="factor"/>
          <c:x val="0.002"/>
          <c:y val="0"/>
        </c:manualLayout>
      </c:layout>
      <c:spPr>
        <a:noFill/>
        <a:ln w="3175">
          <a:noFill/>
        </a:ln>
      </c:spPr>
    </c:title>
    <c:plotArea>
      <c:layout>
        <c:manualLayout>
          <c:xMode val="edge"/>
          <c:yMode val="edge"/>
          <c:x val="0.03575"/>
          <c:y val="0.11475"/>
          <c:w val="0.95375"/>
          <c:h val="0.82025"/>
        </c:manualLayout>
      </c:layout>
      <c:lineChart>
        <c:grouping val="standard"/>
        <c:varyColors val="0"/>
        <c:ser>
          <c:idx val="0"/>
          <c:order val="0"/>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333333"/>
              </a:solidFill>
              <a:ln>
                <a:solidFill>
                  <a:srgbClr val="333333"/>
                </a:solidFill>
              </a:ln>
            </c:spPr>
          </c:marker>
          <c:cat>
            <c:numRef>
              <c:f>'[1]MAR. B.'!$R$128:$V$128</c:f>
              <c:numCache>
                <c:ptCount val="5"/>
                <c:pt idx="0">
                  <c:v>-2.592482999999987</c:v>
                </c:pt>
                <c:pt idx="1">
                  <c:v>2.6268599999999935</c:v>
                </c:pt>
                <c:pt idx="2">
                  <c:v>7.846203000000031</c:v>
                </c:pt>
                <c:pt idx="3">
                  <c:v>15.675217500000002</c:v>
                </c:pt>
                <c:pt idx="4">
                  <c:v>23.504232000000002</c:v>
                </c:pt>
              </c:numCache>
            </c:numRef>
          </c:cat>
          <c:val>
            <c:numRef>
              <c:f>'[1]MAR. B.'!$R$99:$V$99</c:f>
              <c:numCache>
                <c:ptCount val="5"/>
                <c:pt idx="0">
                  <c:v>3800</c:v>
                </c:pt>
                <c:pt idx="1">
                  <c:v>4000</c:v>
                </c:pt>
                <c:pt idx="2">
                  <c:v>4200</c:v>
                </c:pt>
                <c:pt idx="3">
                  <c:v>4500</c:v>
                </c:pt>
                <c:pt idx="4">
                  <c:v>4800</c:v>
                </c:pt>
              </c:numCache>
            </c:numRef>
          </c:val>
          <c:smooth val="1"/>
        </c:ser>
        <c:marker val="1"/>
        <c:axId val="54293253"/>
        <c:axId val="18877230"/>
      </c:lineChart>
      <c:catAx>
        <c:axId val="5429325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77230"/>
        <c:crosses val="autoZero"/>
        <c:auto val="0"/>
        <c:lblOffset val="100"/>
        <c:tickLblSkip val="1"/>
        <c:noMultiLvlLbl val="0"/>
      </c:catAx>
      <c:valAx>
        <c:axId val="188772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93253"/>
        <c:crossesAt val="1"/>
        <c:crossBetween val="midCat"/>
        <c:dispUnits/>
      </c:valAx>
      <c:spPr>
        <a:gradFill rotWithShape="1">
          <a:gsLst>
            <a:gs pos="0">
              <a:srgbClr val="FFFFFF"/>
            </a:gs>
            <a:gs pos="100000">
              <a:srgbClr val="CCFFFF"/>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GIRASOL DIRECTA</a:t>
            </a:r>
          </a:p>
        </c:rich>
      </c:tx>
      <c:layout>
        <c:manualLayout>
          <c:xMode val="factor"/>
          <c:yMode val="factor"/>
          <c:x val="0"/>
          <c:y val="0"/>
        </c:manualLayout>
      </c:layout>
      <c:spPr>
        <a:noFill/>
        <a:ln w="3175">
          <a:noFill/>
        </a:ln>
      </c:spPr>
    </c:title>
    <c:plotArea>
      <c:layout>
        <c:manualLayout>
          <c:xMode val="edge"/>
          <c:yMode val="edge"/>
          <c:x val="0.036"/>
          <c:y val="0.11575"/>
          <c:w val="0.95325"/>
          <c:h val="0.81875"/>
        </c:manualLayout>
      </c:layout>
      <c:lineChart>
        <c:grouping val="standard"/>
        <c:varyColors val="0"/>
        <c:ser>
          <c:idx val="0"/>
          <c:order val="0"/>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'[1]MAR. B.'!$R$170:$V$170</c:f>
              <c:numCache>
                <c:ptCount val="5"/>
                <c:pt idx="0">
                  <c:v>-16.574680000000015</c:v>
                </c:pt>
                <c:pt idx="1">
                  <c:v>-0.37681600000001936</c:v>
                </c:pt>
                <c:pt idx="2">
                  <c:v>23.91998000000001</c:v>
                </c:pt>
                <c:pt idx="3">
                  <c:v>48.21677600000001</c:v>
                </c:pt>
                <c:pt idx="4">
                  <c:v>72.51357200000001</c:v>
                </c:pt>
              </c:numCache>
            </c:numRef>
          </c:cat>
          <c:val>
            <c:numRef>
              <c:f>'[1]MAR. B.'!$R$142:$V$142</c:f>
              <c:numCache>
                <c:ptCount val="5"/>
                <c:pt idx="0">
                  <c:v>1000</c:v>
                </c:pt>
                <c:pt idx="1">
                  <c:v>1200</c:v>
                </c:pt>
                <c:pt idx="2">
                  <c:v>1500</c:v>
                </c:pt>
                <c:pt idx="3">
                  <c:v>1800</c:v>
                </c:pt>
                <c:pt idx="4">
                  <c:v>2100</c:v>
                </c:pt>
              </c:numCache>
            </c:numRef>
          </c:val>
          <c:smooth val="1"/>
        </c:ser>
        <c:marker val="1"/>
        <c:axId val="35677343"/>
        <c:axId val="52660632"/>
      </c:lineChart>
      <c:catAx>
        <c:axId val="356773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w="3175">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660632"/>
        <c:crosses val="autoZero"/>
        <c:auto val="0"/>
        <c:lblOffset val="100"/>
        <c:tickLblSkip val="1"/>
        <c:noMultiLvlLbl val="0"/>
      </c:catAx>
      <c:valAx>
        <c:axId val="526606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677343"/>
        <c:crossesAt val="1"/>
        <c:crossBetween val="midCat"/>
        <c:dispUnits/>
      </c:valAx>
      <c:spPr>
        <a:gradFill rotWithShape="1">
          <a:gsLst>
            <a:gs pos="0">
              <a:srgbClr val="FFFFFF"/>
            </a:gs>
            <a:gs pos="100000">
              <a:srgbClr val="CCFFCC"/>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GIRASOL CONVENCIONAL</a:t>
            </a:r>
          </a:p>
        </c:rich>
      </c:tx>
      <c:layout>
        <c:manualLayout>
          <c:xMode val="factor"/>
          <c:yMode val="factor"/>
          <c:x val="0"/>
          <c:y val="0"/>
        </c:manualLayout>
      </c:layout>
      <c:spPr>
        <a:noFill/>
        <a:ln w="3175">
          <a:noFill/>
        </a:ln>
      </c:spPr>
    </c:title>
    <c:plotArea>
      <c:layout>
        <c:manualLayout>
          <c:xMode val="edge"/>
          <c:yMode val="edge"/>
          <c:x val="0.03875"/>
          <c:y val="0.118"/>
          <c:w val="0.954"/>
          <c:h val="0.814"/>
        </c:manualLayout>
      </c:layout>
      <c:lineChart>
        <c:grouping val="standard"/>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cat>
            <c:numRef>
              <c:f>'[1]MAR. B.'!$R$216:$V$216</c:f>
              <c:numCache>
                <c:ptCount val="5"/>
                <c:pt idx="0">
                  <c:v>-48.149519999999995</c:v>
                </c:pt>
                <c:pt idx="1">
                  <c:v>-25.383399999999995</c:v>
                </c:pt>
                <c:pt idx="2">
                  <c:v>-2.617279999999994</c:v>
                </c:pt>
                <c:pt idx="3">
                  <c:v>20.148840000000007</c:v>
                </c:pt>
                <c:pt idx="4">
                  <c:v>42.91496000000001</c:v>
                </c:pt>
              </c:numCache>
            </c:numRef>
          </c:cat>
          <c:val>
            <c:numRef>
              <c:f>'[1]MAR. B.'!$R$182:$V$182</c:f>
              <c:numCache>
                <c:ptCount val="5"/>
                <c:pt idx="0">
                  <c:v>800</c:v>
                </c:pt>
                <c:pt idx="1">
                  <c:v>1000</c:v>
                </c:pt>
                <c:pt idx="2">
                  <c:v>1200</c:v>
                </c:pt>
                <c:pt idx="3">
                  <c:v>1400</c:v>
                </c:pt>
                <c:pt idx="4">
                  <c:v>1600</c:v>
                </c:pt>
              </c:numCache>
            </c:numRef>
          </c:val>
          <c:smooth val="1"/>
        </c:ser>
        <c:marker val="1"/>
        <c:axId val="4183641"/>
        <c:axId val="37652770"/>
      </c:lineChart>
      <c:catAx>
        <c:axId val="418364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5"/>
              <c:y val="0.00125"/>
            </c:manualLayout>
          </c:layout>
          <c:overlay val="0"/>
          <c:spPr>
            <a:noFill/>
            <a:ln w="3175">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52770"/>
        <c:crosses val="autoZero"/>
        <c:auto val="0"/>
        <c:lblOffset val="100"/>
        <c:tickLblSkip val="1"/>
        <c:noMultiLvlLbl val="0"/>
      </c:catAx>
      <c:valAx>
        <c:axId val="376527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3641"/>
        <c:crossesAt val="1"/>
        <c:crossBetween val="midCat"/>
        <c:dispUnits/>
      </c:valAx>
      <c:spPr>
        <a:gradFill rotWithShape="1">
          <a:gsLst>
            <a:gs pos="0">
              <a:srgbClr val="FFFF99"/>
            </a:gs>
            <a:gs pos="100000">
              <a:srgbClr val="FFCC0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ARROZ</a:t>
            </a:r>
          </a:p>
        </c:rich>
      </c:tx>
      <c:layout>
        <c:manualLayout>
          <c:xMode val="factor"/>
          <c:yMode val="factor"/>
          <c:x val="0.001"/>
          <c:y val="0"/>
        </c:manualLayout>
      </c:layout>
      <c:spPr>
        <a:noFill/>
        <a:ln w="3175">
          <a:noFill/>
        </a:ln>
      </c:spPr>
    </c:title>
    <c:plotArea>
      <c:layout>
        <c:manualLayout>
          <c:xMode val="edge"/>
          <c:yMode val="edge"/>
          <c:x val="0.036"/>
          <c:y val="0.11975"/>
          <c:w val="0.9535"/>
          <c:h val="0.81175"/>
        </c:manualLayout>
      </c:layout>
      <c:lineChart>
        <c:grouping val="standard"/>
        <c:varyColors val="0"/>
        <c:ser>
          <c:idx val="0"/>
          <c:order val="0"/>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FFFFFF"/>
                </a:solidFill>
              </a:ln>
            </c:spPr>
          </c:marker>
          <c:cat>
            <c:numRef>
              <c:f>'[1]MAR. B.'!$R$267:$V$267</c:f>
              <c:numCache>
                <c:ptCount val="5"/>
                <c:pt idx="0">
                  <c:v>184.23016</c:v>
                </c:pt>
                <c:pt idx="1">
                  <c:v>209.54204500000003</c:v>
                </c:pt>
                <c:pt idx="2">
                  <c:v>234.85393</c:v>
                </c:pt>
                <c:pt idx="3">
                  <c:v>260.165815</c:v>
                </c:pt>
                <c:pt idx="4">
                  <c:v>285.4777</c:v>
                </c:pt>
              </c:numCache>
            </c:numRef>
          </c:cat>
          <c:val>
            <c:numRef>
              <c:f>'[1]MAR. B.'!$R$236:$V$236</c:f>
              <c:numCache>
                <c:ptCount val="5"/>
                <c:pt idx="0">
                  <c:v>4000</c:v>
                </c:pt>
                <c:pt idx="1">
                  <c:v>4250</c:v>
                </c:pt>
                <c:pt idx="2">
                  <c:v>4500</c:v>
                </c:pt>
                <c:pt idx="3">
                  <c:v>4750</c:v>
                </c:pt>
                <c:pt idx="4">
                  <c:v>5000</c:v>
                </c:pt>
              </c:numCache>
            </c:numRef>
          </c:val>
          <c:smooth val="0"/>
        </c:ser>
        <c:marker val="1"/>
        <c:axId val="3330611"/>
        <c:axId val="29975500"/>
      </c:lineChart>
      <c:catAx>
        <c:axId val="33306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 BRUTO</a:t>
                </a:r>
              </a:p>
            </c:rich>
          </c:tx>
          <c:layout>
            <c:manualLayout>
              <c:xMode val="factor"/>
              <c:yMode val="factor"/>
              <c:x val="-0.005"/>
              <c:y val="0.0005"/>
            </c:manualLayout>
          </c:layout>
          <c:overlay val="0"/>
          <c:spPr>
            <a:noFill/>
            <a:ln w="3175">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975500"/>
        <c:crosses val="autoZero"/>
        <c:auto val="1"/>
        <c:lblOffset val="100"/>
        <c:tickLblSkip val="1"/>
        <c:noMultiLvlLbl val="0"/>
      </c:catAx>
      <c:valAx>
        <c:axId val="2997550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0611"/>
        <c:crossesAt val="1"/>
        <c:crossBetween val="between"/>
        <c:dispUnits/>
      </c:valAx>
      <c:spPr>
        <a:gradFill rotWithShape="1">
          <a:gsLst>
            <a:gs pos="0">
              <a:srgbClr val="003366"/>
            </a:gs>
            <a:gs pos="100000">
              <a:srgbClr val="008080"/>
            </a:gs>
          </a:gsLst>
          <a:path path="rect">
            <a:fillToRect t="100000" r="100000"/>
          </a:path>
        </a:gradFill>
        <a:ln w="3175">
          <a:noFill/>
        </a:ln>
      </c:spPr>
    </c:plotArea>
    <c:plotVisOnly val="1"/>
    <c:dispBlanksAs val="gap"/>
    <c:showDLblsOverMax val="0"/>
  </c:chart>
  <c:spPr>
    <a:solidFill>
      <a:srgbClr val="FFFFFF"/>
    </a:solidFill>
    <a:ln w="3175">
      <a:noFill/>
    </a:ln>
  </c:spPr>
  <c:txPr>
    <a:bodyPr vert="horz" rot="0"/>
    <a:lstStyle/>
    <a:p>
      <a:pPr>
        <a:defRPr lang="en-US" cap="none" sz="252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EFECTO PISO DE LA COMPRA DE UN PUT</a:t>
            </a:r>
          </a:p>
        </c:rich>
      </c:tx>
      <c:layout>
        <c:manualLayout>
          <c:xMode val="factor"/>
          <c:yMode val="factor"/>
          <c:x val="0.00825"/>
          <c:y val="0"/>
        </c:manualLayout>
      </c:layout>
      <c:spPr>
        <a:noFill/>
        <a:ln>
          <a:noFill/>
        </a:ln>
      </c:spPr>
    </c:title>
    <c:plotArea>
      <c:layout>
        <c:manualLayout>
          <c:xMode val="edge"/>
          <c:yMode val="edge"/>
          <c:x val="0.0815"/>
          <c:y val="0.121"/>
          <c:w val="0.78125"/>
          <c:h val="0.8"/>
        </c:manualLayout>
      </c:layout>
      <c:lineChart>
        <c:grouping val="standard"/>
        <c:varyColors val="0"/>
        <c:ser>
          <c:idx val="0"/>
          <c:order val="0"/>
          <c:tx>
            <c:strRef>
              <c:f>'[2]OPCIONES'!$C$12</c:f>
              <c:strCache>
                <c:ptCount val="1"/>
                <c:pt idx="0">
                  <c:v>Sin Cubrir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'[2]OPCIONES'!$B$13:$B$23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cat>
          <c:val>
            <c:numRef>
              <c:f>'[2]OPCIONES'!$C$13:$C$23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val>
          <c:smooth val="0"/>
        </c:ser>
        <c:ser>
          <c:idx val="1"/>
          <c:order val="1"/>
          <c:tx>
            <c:strRef>
              <c:f>'[2]OPCIONES'!$D$12</c:f>
              <c:strCache>
                <c:ptCount val="1"/>
                <c:pt idx="0">
                  <c:v>Futuro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'[2]OPCIONES'!$B$13:$B$23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cat>
          <c:val>
            <c:numRef>
              <c:f>'[2]OPCIONES'!$D$13:$D$23</c:f>
              <c:numCache>
                <c:ptCount val="11"/>
                <c:pt idx="0">
                  <c:v>130</c:v>
                </c:pt>
                <c:pt idx="1">
                  <c:v>130</c:v>
                </c:pt>
                <c:pt idx="2">
                  <c:v>130</c:v>
                </c:pt>
                <c:pt idx="3">
                  <c:v>130</c:v>
                </c:pt>
                <c:pt idx="4">
                  <c:v>130</c:v>
                </c:pt>
                <c:pt idx="5">
                  <c:v>130</c:v>
                </c:pt>
                <c:pt idx="6">
                  <c:v>130</c:v>
                </c:pt>
                <c:pt idx="7">
                  <c:v>130</c:v>
                </c:pt>
                <c:pt idx="8">
                  <c:v>130</c:v>
                </c:pt>
                <c:pt idx="9">
                  <c:v>130</c:v>
                </c:pt>
                <c:pt idx="10">
                  <c:v>130</c:v>
                </c:pt>
              </c:numCache>
            </c:numRef>
          </c:val>
          <c:smooth val="0"/>
        </c:ser>
        <c:ser>
          <c:idx val="2"/>
          <c:order val="2"/>
          <c:tx>
            <c:strRef>
              <c:f>'[2]OPCIONES'!$E$12</c:f>
              <c:strCache>
                <c:ptCount val="1"/>
                <c:pt idx="0">
                  <c:v>PUT</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339966"/>
                </a:solidFill>
              </a:ln>
            </c:spPr>
          </c:marker>
          <c:cat>
            <c:numRef>
              <c:f>'[2]OPCIONES'!$B$13:$B$23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cat>
          <c:val>
            <c:numRef>
              <c:f>'[2]OPCIONES'!$E$13:$E$23</c:f>
              <c:numCache>
                <c:ptCount val="11"/>
                <c:pt idx="0">
                  <c:v>125</c:v>
                </c:pt>
                <c:pt idx="1">
                  <c:v>125</c:v>
                </c:pt>
                <c:pt idx="2">
                  <c:v>125</c:v>
                </c:pt>
                <c:pt idx="3">
                  <c:v>125</c:v>
                </c:pt>
                <c:pt idx="4">
                  <c:v>125</c:v>
                </c:pt>
                <c:pt idx="5">
                  <c:v>125</c:v>
                </c:pt>
                <c:pt idx="6">
                  <c:v>127</c:v>
                </c:pt>
                <c:pt idx="7">
                  <c:v>129</c:v>
                </c:pt>
                <c:pt idx="8">
                  <c:v>131</c:v>
                </c:pt>
                <c:pt idx="9">
                  <c:v>133</c:v>
                </c:pt>
                <c:pt idx="10">
                  <c:v>135</c:v>
                </c:pt>
              </c:numCache>
            </c:numRef>
          </c:val>
          <c:smooth val="0"/>
        </c:ser>
        <c:marker val="1"/>
        <c:axId val="1344045"/>
        <c:axId val="12096406"/>
      </c:lineChart>
      <c:catAx>
        <c:axId val="13440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COTIZACION AL MOMENTO DE ENTREGA (U$S/Tn)</a:t>
                </a:r>
              </a:p>
            </c:rich>
          </c:tx>
          <c:layout>
            <c:manualLayout>
              <c:xMode val="factor"/>
              <c:yMode val="factor"/>
              <c:x val="-0.008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96406"/>
        <c:crosses val="autoZero"/>
        <c:auto val="1"/>
        <c:lblOffset val="100"/>
        <c:tickLblSkip val="1"/>
        <c:noMultiLvlLbl val="0"/>
      </c:catAx>
      <c:valAx>
        <c:axId val="1209640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PRECIO FINAL DE VENTA (U$S/Tn)</a:t>
                </a:r>
              </a:p>
            </c:rich>
          </c:tx>
          <c:layout>
            <c:manualLayout>
              <c:xMode val="factor"/>
              <c:yMode val="factor"/>
              <c:x val="-0.006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4045"/>
        <c:crossesAt val="1"/>
        <c:crossBetween val="between"/>
        <c:dispUnits/>
      </c:valAx>
      <c:spPr>
        <a:solidFill>
          <a:srgbClr val="C0C0C0"/>
        </a:solidFill>
        <a:ln w="12700">
          <a:solidFill>
            <a:srgbClr val="808080"/>
          </a:solidFill>
        </a:ln>
      </c:spPr>
    </c:plotArea>
    <c:legend>
      <c:legendPos val="r"/>
      <c:layout>
        <c:manualLayout>
          <c:xMode val="edge"/>
          <c:yMode val="edge"/>
          <c:x val="0.878"/>
          <c:y val="0.42975"/>
          <c:w val="0.1165"/>
          <c:h val="0.14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EFECTO TECHO DE LA COMPRA DE UN CALL</a:t>
            </a:r>
          </a:p>
        </c:rich>
      </c:tx>
      <c:layout>
        <c:manualLayout>
          <c:xMode val="factor"/>
          <c:yMode val="factor"/>
          <c:x val="0.012"/>
          <c:y val="0"/>
        </c:manualLayout>
      </c:layout>
      <c:spPr>
        <a:noFill/>
        <a:ln>
          <a:noFill/>
        </a:ln>
      </c:spPr>
    </c:title>
    <c:plotArea>
      <c:layout>
        <c:manualLayout>
          <c:xMode val="edge"/>
          <c:yMode val="edge"/>
          <c:x val="0.048"/>
          <c:y val="0.12075"/>
          <c:w val="0.80225"/>
          <c:h val="0.8005"/>
        </c:manualLayout>
      </c:layout>
      <c:lineChart>
        <c:grouping val="standard"/>
        <c:varyColors val="0"/>
        <c:ser>
          <c:idx val="0"/>
          <c:order val="0"/>
          <c:tx>
            <c:strRef>
              <c:f>'[2]OPCIONES'!$M$12</c:f>
              <c:strCache>
                <c:ptCount val="1"/>
                <c:pt idx="0">
                  <c:v>Sin Cubrir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'[2]OPCIONES'!$L$13:$L$23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cat>
          <c:val>
            <c:numRef>
              <c:f>'[2]OPCIONES'!$M$13:$M$23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val>
          <c:smooth val="0"/>
        </c:ser>
        <c:ser>
          <c:idx val="1"/>
          <c:order val="1"/>
          <c:tx>
            <c:strRef>
              <c:f>'[2]OPCIONES'!$N$12</c:f>
              <c:strCache>
                <c:ptCount val="1"/>
                <c:pt idx="0">
                  <c:v>Futuro</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'[2]OPCIONES'!$L$13:$L$23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cat>
          <c:val>
            <c:numRef>
              <c:f>'[2]OPCIONES'!$N$13:$N$23</c:f>
              <c:numCache>
                <c:ptCount val="11"/>
                <c:pt idx="0">
                  <c:v>130</c:v>
                </c:pt>
                <c:pt idx="1">
                  <c:v>130</c:v>
                </c:pt>
                <c:pt idx="2">
                  <c:v>130</c:v>
                </c:pt>
                <c:pt idx="3">
                  <c:v>130</c:v>
                </c:pt>
                <c:pt idx="4">
                  <c:v>130</c:v>
                </c:pt>
                <c:pt idx="5">
                  <c:v>130</c:v>
                </c:pt>
                <c:pt idx="6">
                  <c:v>130</c:v>
                </c:pt>
                <c:pt idx="7">
                  <c:v>130</c:v>
                </c:pt>
                <c:pt idx="8">
                  <c:v>130</c:v>
                </c:pt>
                <c:pt idx="9">
                  <c:v>130</c:v>
                </c:pt>
                <c:pt idx="10">
                  <c:v>130</c:v>
                </c:pt>
              </c:numCache>
            </c:numRef>
          </c:val>
          <c:smooth val="0"/>
        </c:ser>
        <c:ser>
          <c:idx val="2"/>
          <c:order val="2"/>
          <c:tx>
            <c:strRef>
              <c:f>'[2]OPCIONES'!$O$12</c:f>
              <c:strCache>
                <c:ptCount val="1"/>
                <c:pt idx="0">
                  <c:v>CALL</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00"/>
              </a:solidFill>
              <a:ln>
                <a:solidFill>
                  <a:srgbClr val="808000"/>
                </a:solidFill>
              </a:ln>
            </c:spPr>
          </c:marker>
          <c:cat>
            <c:numRef>
              <c:f>'[2]OPCIONES'!$L$13:$L$23</c:f>
              <c:numCache>
                <c:ptCount val="11"/>
                <c:pt idx="0">
                  <c:v>120</c:v>
                </c:pt>
                <c:pt idx="1">
                  <c:v>122</c:v>
                </c:pt>
                <c:pt idx="2">
                  <c:v>124</c:v>
                </c:pt>
                <c:pt idx="3">
                  <c:v>126</c:v>
                </c:pt>
                <c:pt idx="4">
                  <c:v>128</c:v>
                </c:pt>
                <c:pt idx="5">
                  <c:v>130</c:v>
                </c:pt>
                <c:pt idx="6">
                  <c:v>132</c:v>
                </c:pt>
                <c:pt idx="7">
                  <c:v>134</c:v>
                </c:pt>
                <c:pt idx="8">
                  <c:v>136</c:v>
                </c:pt>
                <c:pt idx="9">
                  <c:v>138</c:v>
                </c:pt>
                <c:pt idx="10">
                  <c:v>140</c:v>
                </c:pt>
              </c:numCache>
            </c:numRef>
          </c:cat>
          <c:val>
            <c:numRef>
              <c:f>'[2]OPCIONES'!$O$13:$O$23</c:f>
              <c:numCache>
                <c:ptCount val="11"/>
                <c:pt idx="0">
                  <c:v>125</c:v>
                </c:pt>
                <c:pt idx="1">
                  <c:v>127</c:v>
                </c:pt>
                <c:pt idx="2">
                  <c:v>129</c:v>
                </c:pt>
                <c:pt idx="3">
                  <c:v>131</c:v>
                </c:pt>
                <c:pt idx="4">
                  <c:v>133</c:v>
                </c:pt>
                <c:pt idx="5">
                  <c:v>135</c:v>
                </c:pt>
                <c:pt idx="6">
                  <c:v>135</c:v>
                </c:pt>
                <c:pt idx="7">
                  <c:v>135</c:v>
                </c:pt>
                <c:pt idx="8">
                  <c:v>135</c:v>
                </c:pt>
                <c:pt idx="9">
                  <c:v>135</c:v>
                </c:pt>
                <c:pt idx="10">
                  <c:v>135</c:v>
                </c:pt>
              </c:numCache>
            </c:numRef>
          </c:val>
          <c:smooth val="0"/>
        </c:ser>
        <c:marker val="1"/>
        <c:axId val="41758791"/>
        <c:axId val="40284800"/>
      </c:lineChart>
      <c:catAx>
        <c:axId val="417587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COTIZACION AL MOMENTO DE ENTREGA (U$S/Tn)</a:t>
                </a:r>
              </a:p>
            </c:rich>
          </c:tx>
          <c:layout>
            <c:manualLayout>
              <c:xMode val="factor"/>
              <c:yMode val="factor"/>
              <c:x val="-0.008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84800"/>
        <c:crosses val="autoZero"/>
        <c:auto val="1"/>
        <c:lblOffset val="100"/>
        <c:tickLblSkip val="1"/>
        <c:noMultiLvlLbl val="0"/>
      </c:catAx>
      <c:valAx>
        <c:axId val="4028480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PRECIO FINAL DE COMPRA (U$S/Tn)</a:t>
                </a:r>
              </a:p>
            </c:rich>
          </c:tx>
          <c:layout>
            <c:manualLayout>
              <c:xMode val="factor"/>
              <c:yMode val="factor"/>
              <c:x val="-0.008"/>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58791"/>
        <c:crossesAt val="1"/>
        <c:crossBetween val="between"/>
        <c:dispUnits/>
      </c:valAx>
      <c:spPr>
        <a:solidFill>
          <a:srgbClr val="C0C0C0"/>
        </a:solidFill>
        <a:ln w="12700">
          <a:solidFill>
            <a:srgbClr val="808080"/>
          </a:solidFill>
        </a:ln>
      </c:spPr>
    </c:plotArea>
    <c:legend>
      <c:legendPos val="r"/>
      <c:layout>
        <c:manualLayout>
          <c:xMode val="edge"/>
          <c:yMode val="edge"/>
          <c:x val="0.86675"/>
          <c:y val="0.4285"/>
          <c:w val="0.12725"/>
          <c:h val="0.14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COSTOS COMPARADOS; ALGODON</a:t>
            </a:r>
          </a:p>
        </c:rich>
      </c:tx>
      <c:layout>
        <c:manualLayout>
          <c:xMode val="factor"/>
          <c:yMode val="factor"/>
          <c:x val="0"/>
          <c:y val="0"/>
        </c:manualLayout>
      </c:layout>
      <c:spPr>
        <a:noFill/>
        <a:ln>
          <a:noFill/>
        </a:ln>
      </c:spPr>
    </c:title>
    <c:view3D>
      <c:rotX val="15"/>
      <c:hPercent val="79"/>
      <c:rotY val="20"/>
      <c:depthPercent val="100"/>
      <c:rAngAx val="1"/>
    </c:view3D>
    <c:plotArea>
      <c:layout>
        <c:manualLayout>
          <c:xMode val="edge"/>
          <c:yMode val="edge"/>
          <c:x val="0.01525"/>
          <c:y val="0.11625"/>
          <c:w val="0.84825"/>
          <c:h val="0.864"/>
        </c:manualLayout>
      </c:layout>
      <c:bar3DChart>
        <c:barDir val="col"/>
        <c:grouping val="clustered"/>
        <c:varyColors val="0"/>
        <c:ser>
          <c:idx val="0"/>
          <c:order val="0"/>
          <c:tx>
            <c:v>GRUPAL</c:v>
          </c:tx>
          <c:spPr>
            <a:pattFill prst="plaid">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'[3]COSTOS C.'!$F$65:$F$72</c:f>
              <c:strCache>
                <c:ptCount val="8"/>
                <c:pt idx="0">
                  <c:v>    Semilla  0,4 Kgr/Has.( incluye resiembra) </c:v>
                </c:pt>
                <c:pt idx="1">
                  <c:v>    Herbicida Trifluralinalt 5 lts/ha</c:v>
                </c:pt>
                <c:pt idx="2">
                  <c:v>    Fertilizante Fosf-Diam-PSI</c:v>
                </c:pt>
                <c:pt idx="3">
                  <c:v>    Fertilizante Urea - POE</c:v>
                </c:pt>
                <c:pt idx="4">
                  <c:v>    Insecticida Monocrotofos ( Chinches 1 Trat.) </c:v>
                </c:pt>
                <c:pt idx="5">
                  <c:v>    Dimetoato 50% (pulgones - Trips) 2 Trat. X 0,4 lts</c:v>
                </c:pt>
                <c:pt idx="6">
                  <c:v>    Insecticida Decis (Cap-Lag-Def.) 2 Trat.</c:v>
                </c:pt>
                <c:pt idx="7">
                  <c:v>    Humectante - 5 Trat. X 0,1 Lt/ha.</c:v>
                </c:pt>
              </c:strCache>
            </c:strRef>
          </c:cat>
          <c:val>
            <c:numRef>
              <c:f>'[3]COSTOS C.'!$I$65:$I$72</c:f>
              <c:numCache>
                <c:ptCount val="8"/>
                <c:pt idx="0">
                  <c:v>12.8</c:v>
                </c:pt>
                <c:pt idx="1">
                  <c:v>7.25</c:v>
                </c:pt>
                <c:pt idx="2">
                  <c:v>33.44</c:v>
                </c:pt>
                <c:pt idx="3">
                  <c:v>25.84</c:v>
                </c:pt>
                <c:pt idx="4">
                  <c:v>3.6</c:v>
                </c:pt>
                <c:pt idx="5">
                  <c:v>3.04</c:v>
                </c:pt>
                <c:pt idx="6">
                  <c:v>9</c:v>
                </c:pt>
                <c:pt idx="7">
                  <c:v>1.1</c:v>
                </c:pt>
              </c:numCache>
            </c:numRef>
          </c:val>
          <c:shape val="pyramid"/>
        </c:ser>
        <c:ser>
          <c:idx val="1"/>
          <c:order val="1"/>
          <c:tx>
            <c:v>INDIVIDUAL</c:v>
          </c:tx>
          <c:spPr>
            <a:gradFill rotWithShape="1">
              <a:gsLst>
                <a:gs pos="0">
                  <a:srgbClr val="FF0000"/>
                </a:gs>
                <a:gs pos="100000">
                  <a:srgbClr val="808000"/>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0000"/>
                  </a:gs>
                  <a:gs pos="100000">
                    <a:srgbClr val="808000"/>
                  </a:gs>
                </a:gsLst>
                <a:lin ang="2700000" scaled="1"/>
              </a:gradFill>
              <a:ln w="12700">
                <a:solidFill>
                  <a:srgbClr val="000000"/>
                </a:solidFill>
              </a:ln>
            </c:spPr>
          </c:dPt>
          <c:val>
            <c:numRef>
              <c:f>'[3]COSTOS C.'!$D$65:$D$72</c:f>
              <c:numCache>
                <c:ptCount val="8"/>
                <c:pt idx="0">
                  <c:v>14</c:v>
                </c:pt>
                <c:pt idx="1">
                  <c:v>9</c:v>
                </c:pt>
                <c:pt idx="2">
                  <c:v>35.2</c:v>
                </c:pt>
                <c:pt idx="3">
                  <c:v>26.6</c:v>
                </c:pt>
                <c:pt idx="4">
                  <c:v>4.8</c:v>
                </c:pt>
                <c:pt idx="5">
                  <c:v>3.28</c:v>
                </c:pt>
                <c:pt idx="6">
                  <c:v>10.2</c:v>
                </c:pt>
                <c:pt idx="7">
                  <c:v>1.25</c:v>
                </c:pt>
              </c:numCache>
            </c:numRef>
          </c:val>
          <c:shape val="pyramid"/>
        </c:ser>
        <c:shape val="cylinder"/>
        <c:axId val="35606595"/>
        <c:axId val="52023900"/>
      </c:bar3DChart>
      <c:catAx>
        <c:axId val="35606595"/>
        <c:scaling>
          <c:orientation val="minMax"/>
        </c:scaling>
        <c:axPos val="b"/>
        <c:delete val="0"/>
        <c:numFmt formatCode="General" sourceLinked="1"/>
        <c:majorTickMark val="out"/>
        <c:minorTickMark val="none"/>
        <c:tickLblPos val="low"/>
        <c:spPr>
          <a:ln w="3175">
            <a:solidFill>
              <a:srgbClr val="000000"/>
            </a:solidFill>
          </a:ln>
        </c:spPr>
        <c:crossAx val="52023900"/>
        <c:crosses val="autoZero"/>
        <c:auto val="1"/>
        <c:lblOffset val="100"/>
        <c:tickLblSkip val="2"/>
        <c:noMultiLvlLbl val="0"/>
      </c:catAx>
      <c:valAx>
        <c:axId val="52023900"/>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PESOS ($)</a:t>
                </a:r>
              </a:p>
            </c:rich>
          </c:tx>
          <c:layout>
            <c:manualLayout>
              <c:xMode val="factor"/>
              <c:yMode val="factor"/>
              <c:x val="0.023"/>
              <c:y val="-0.02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606595"/>
        <c:crossesAt val="1"/>
        <c:crossBetween val="between"/>
        <c:dispUnits/>
      </c:valAx>
      <c:spPr>
        <a:noFill/>
        <a:ln>
          <a:noFill/>
        </a:ln>
      </c:spPr>
    </c:plotArea>
    <c:legend>
      <c:legendPos val="r"/>
      <c:layout>
        <c:manualLayout>
          <c:xMode val="edge"/>
          <c:yMode val="edge"/>
          <c:x val="0.88075"/>
          <c:y val="0.51075"/>
          <c:w val="0.11475"/>
          <c:h val="0.07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gradFill rotWithShape="1">
          <a:gsLst>
            <a:gs pos="0">
              <a:srgbClr val="FFFFFF"/>
            </a:gs>
            <a:gs pos="100000">
              <a:srgbClr val="333399"/>
            </a:gs>
          </a:gsLst>
          <a:lin ang="5400000" scaled="1"/>
        </a:gradFill>
        <a:ln w="3175">
          <a:solidFill>
            <a:srgbClr val="000000"/>
          </a:solidFill>
        </a:ln>
      </c:spPr>
      <c:thickness val="0"/>
    </c:sideWall>
    <c:backWall>
      <c:spPr>
        <a:gradFill rotWithShape="1">
          <a:gsLst>
            <a:gs pos="0">
              <a:srgbClr val="FFFFFF"/>
            </a:gs>
            <a:gs pos="100000">
              <a:srgbClr val="333399"/>
            </a:gs>
          </a:gsLst>
          <a:lin ang="5400000" scaled="1"/>
        </a:gra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CONVENCIONAL (1)</a:t>
            </a:r>
          </a:p>
        </c:rich>
      </c:tx>
      <c:layout>
        <c:manualLayout>
          <c:xMode val="factor"/>
          <c:yMode val="factor"/>
          <c:x val="0"/>
          <c:y val="0"/>
        </c:manualLayout>
      </c:layout>
      <c:spPr>
        <a:noFill/>
        <a:ln>
          <a:noFill/>
        </a:ln>
      </c:spPr>
    </c:title>
    <c:plotArea>
      <c:layout>
        <c:manualLayout>
          <c:xMode val="edge"/>
          <c:yMode val="edge"/>
          <c:x val="0.033"/>
          <c:y val="0.1155"/>
          <c:w val="0.9535"/>
          <c:h val="0.819"/>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'[1]MAR. B.'!$F$41:$J$41</c:f>
              <c:numCache>
                <c:ptCount val="5"/>
                <c:pt idx="0">
                  <c:v>66.71132139534885</c:v>
                </c:pt>
                <c:pt idx="1">
                  <c:v>79.82075139534885</c:v>
                </c:pt>
                <c:pt idx="2">
                  <c:v>158.47733139534887</c:v>
                </c:pt>
                <c:pt idx="3">
                  <c:v>197.80562139534885</c:v>
                </c:pt>
                <c:pt idx="4">
                  <c:v>224.02448139534886</c:v>
                </c:pt>
              </c:numCache>
            </c:numRef>
          </c:cat>
          <c:val>
            <c:numRef>
              <c:f>'[1]MAR. B.'!$F$7:$J$7</c:f>
              <c:numCache>
                <c:ptCount val="5"/>
                <c:pt idx="0">
                  <c:v>1800</c:v>
                </c:pt>
                <c:pt idx="1">
                  <c:v>1900</c:v>
                </c:pt>
                <c:pt idx="2">
                  <c:v>2500</c:v>
                </c:pt>
                <c:pt idx="3">
                  <c:v>2800</c:v>
                </c:pt>
                <c:pt idx="4">
                  <c:v>3000</c:v>
                </c:pt>
              </c:numCache>
            </c:numRef>
          </c:val>
          <c:smooth val="1"/>
        </c:ser>
        <c:marker val="1"/>
        <c:axId val="65561917"/>
        <c:axId val="53186342"/>
      </c:lineChart>
      <c:catAx>
        <c:axId val="6556191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86342"/>
        <c:crosses val="autoZero"/>
        <c:auto val="0"/>
        <c:lblOffset val="100"/>
        <c:tickLblSkip val="1"/>
        <c:noMultiLvlLbl val="0"/>
      </c:catAx>
      <c:valAx>
        <c:axId val="531863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561917"/>
        <c:crossesAt val="1"/>
        <c:crossBetween val="midCat"/>
        <c:dispUnits/>
        <c:majorUnit val="200"/>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MARGEN BRUTO SOJA DIRECTA (1)</a:t>
            </a:r>
          </a:p>
        </c:rich>
      </c:tx>
      <c:layout>
        <c:manualLayout>
          <c:xMode val="factor"/>
          <c:yMode val="factor"/>
          <c:x val="0"/>
          <c:y val="0"/>
        </c:manualLayout>
      </c:layout>
      <c:spPr>
        <a:noFill/>
        <a:ln>
          <a:noFill/>
        </a:ln>
      </c:spPr>
    </c:title>
    <c:plotArea>
      <c:layout>
        <c:manualLayout>
          <c:xMode val="edge"/>
          <c:yMode val="edge"/>
          <c:x val="0.0365"/>
          <c:y val="0.117"/>
          <c:w val="0.953"/>
          <c:h val="0.8155"/>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cat>
            <c:numRef>
              <c:f>'[1]MAR. B.'!$F$85:$J$85</c:f>
              <c:numCache>
                <c:ptCount val="5"/>
                <c:pt idx="0">
                  <c:v>122.51265639534881</c:v>
                </c:pt>
                <c:pt idx="1">
                  <c:v>128.73407514534884</c:v>
                </c:pt>
                <c:pt idx="2">
                  <c:v>209.61251889534884</c:v>
                </c:pt>
                <c:pt idx="3">
                  <c:v>246.94103139534883</c:v>
                </c:pt>
                <c:pt idx="4">
                  <c:v>271.8267063953488</c:v>
                </c:pt>
              </c:numCache>
            </c:numRef>
          </c:cat>
          <c:val>
            <c:numRef>
              <c:f>'[1]MAR. B.'!$F$55:$J$55</c:f>
              <c:numCache>
                <c:ptCount val="5"/>
                <c:pt idx="0">
                  <c:v>1800</c:v>
                </c:pt>
                <c:pt idx="1">
                  <c:v>1850</c:v>
                </c:pt>
                <c:pt idx="2">
                  <c:v>2500</c:v>
                </c:pt>
                <c:pt idx="3">
                  <c:v>2800</c:v>
                </c:pt>
                <c:pt idx="4">
                  <c:v>3000</c:v>
                </c:pt>
              </c:numCache>
            </c:numRef>
          </c:val>
          <c:smooth val="1"/>
        </c:ser>
        <c:marker val="1"/>
        <c:axId val="8915031"/>
        <c:axId val="13126416"/>
      </c:lineChart>
      <c:catAx>
        <c:axId val="89150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126416"/>
        <c:crosses val="autoZero"/>
        <c:auto val="0"/>
        <c:lblOffset val="100"/>
        <c:tickLblSkip val="1"/>
        <c:noMultiLvlLbl val="0"/>
      </c:catAx>
      <c:valAx>
        <c:axId val="131264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915031"/>
        <c:crossesAt val="1"/>
        <c:crossBetween val="midCat"/>
        <c:dispUnits/>
      </c:valAx>
      <c:spPr>
        <a:gradFill rotWithShape="1">
          <a:gsLst>
            <a:gs pos="0">
              <a:srgbClr val="FFFFFF"/>
            </a:gs>
            <a:gs pos="100000">
              <a:srgbClr val="C0C0C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4.1.6.5  MARGEN BRUTO SORGO (1)</a:t>
            </a:r>
          </a:p>
        </c:rich>
      </c:tx>
      <c:layout>
        <c:manualLayout>
          <c:xMode val="factor"/>
          <c:yMode val="factor"/>
          <c:x val="0.00225"/>
          <c:y val="0"/>
        </c:manualLayout>
      </c:layout>
      <c:spPr>
        <a:noFill/>
        <a:ln>
          <a:noFill/>
        </a:ln>
      </c:spPr>
    </c:title>
    <c:plotArea>
      <c:layout>
        <c:manualLayout>
          <c:xMode val="edge"/>
          <c:yMode val="edge"/>
          <c:x val="0.03625"/>
          <c:y val="0.116"/>
          <c:w val="0.953"/>
          <c:h val="0.81825"/>
        </c:manualLayout>
      </c:layout>
      <c:lineChart>
        <c:grouping val="standard"/>
        <c:varyColors val="0"/>
        <c:ser>
          <c:idx val="0"/>
          <c:order val="0"/>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33"/>
              </a:solidFill>
              <a:ln>
                <a:solidFill>
                  <a:srgbClr val="333333"/>
                </a:solidFill>
              </a:ln>
            </c:spPr>
          </c:marker>
          <c:cat>
            <c:numRef>
              <c:f>'[1]MAR. B.'!$F$129:$J$129</c:f>
              <c:numCache>
                <c:ptCount val="5"/>
                <c:pt idx="0">
                  <c:v>27.41801700000002</c:v>
                </c:pt>
                <c:pt idx="1">
                  <c:v>34.21686</c:v>
                </c:pt>
                <c:pt idx="2">
                  <c:v>41.015703</c:v>
                </c:pt>
                <c:pt idx="3">
                  <c:v>51.213967500000024</c:v>
                </c:pt>
                <c:pt idx="4">
                  <c:v>61.41223200000002</c:v>
                </c:pt>
              </c:numCache>
            </c:numRef>
          </c:cat>
          <c:val>
            <c:numRef>
              <c:f>'[1]MAR. B.'!$F$99:$J$99</c:f>
              <c:numCache>
                <c:ptCount val="5"/>
                <c:pt idx="0">
                  <c:v>3800</c:v>
                </c:pt>
                <c:pt idx="1">
                  <c:v>4000</c:v>
                </c:pt>
                <c:pt idx="2">
                  <c:v>4200</c:v>
                </c:pt>
                <c:pt idx="3">
                  <c:v>4500</c:v>
                </c:pt>
                <c:pt idx="4">
                  <c:v>4800</c:v>
                </c:pt>
              </c:numCache>
            </c:numRef>
          </c:val>
          <c:smooth val="1"/>
        </c:ser>
        <c:marker val="1"/>
        <c:axId val="51028881"/>
        <c:axId val="56606746"/>
      </c:lineChart>
      <c:catAx>
        <c:axId val="510288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606746"/>
        <c:crosses val="autoZero"/>
        <c:auto val="0"/>
        <c:lblOffset val="100"/>
        <c:tickLblSkip val="1"/>
        <c:noMultiLvlLbl val="0"/>
      </c:catAx>
      <c:valAx>
        <c:axId val="566067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028881"/>
        <c:crossesAt val="1"/>
        <c:crossBetween val="midCat"/>
        <c:dispUnits/>
        <c:majorUnit val="500"/>
      </c:valAx>
      <c:spPr>
        <a:gradFill rotWithShape="1">
          <a:gsLst>
            <a:gs pos="0">
              <a:srgbClr val="FFFFFF"/>
            </a:gs>
            <a:gs pos="100000">
              <a:srgbClr val="CCFFFF"/>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TRIGO. DIRECTA</a:t>
            </a:r>
          </a:p>
        </c:rich>
      </c:tx>
      <c:layout>
        <c:manualLayout>
          <c:xMode val="factor"/>
          <c:yMode val="factor"/>
          <c:x val="-0.028"/>
          <c:y val="0.0195"/>
        </c:manualLayout>
      </c:layout>
      <c:spPr>
        <a:noFill/>
        <a:ln>
          <a:noFill/>
        </a:ln>
      </c:spPr>
    </c:title>
    <c:plotArea>
      <c:layout>
        <c:manualLayout>
          <c:xMode val="edge"/>
          <c:yMode val="edge"/>
          <c:x val="0.0365"/>
          <c:y val="0.11675"/>
          <c:w val="0.95275"/>
          <c:h val="0.817"/>
        </c:manualLayout>
      </c:layout>
      <c:lineChart>
        <c:grouping val="standard"/>
        <c:varyColors val="0"/>
        <c:ser>
          <c:idx val="0"/>
          <c:order val="0"/>
          <c:spPr>
            <a:ln w="381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FF"/>
              </a:solidFill>
              <a:ln>
                <a:solidFill>
                  <a:srgbClr val="0000FF"/>
                </a:solidFill>
              </a:ln>
              <a:effectLst>
                <a:outerShdw dist="35921" dir="2700000" algn="br">
                  <a:prstClr val="black"/>
                </a:outerShdw>
              </a:effectLst>
            </c:spPr>
          </c:marker>
          <c:cat>
            <c:numRef>
              <c:f>'[1]MAR. B.'!$F$168:$J$168</c:f>
              <c:numCache>
                <c:ptCount val="5"/>
                <c:pt idx="0">
                  <c:v>18.8911085</c:v>
                </c:pt>
                <c:pt idx="1">
                  <c:v>23.81261624999999</c:v>
                </c:pt>
                <c:pt idx="2">
                  <c:v>31.194877875000003</c:v>
                </c:pt>
                <c:pt idx="3">
                  <c:v>38.5771395</c:v>
                </c:pt>
                <c:pt idx="4">
                  <c:v>73.02769375</c:v>
                </c:pt>
              </c:numCache>
            </c:numRef>
          </c:cat>
          <c:val>
            <c:numRef>
              <c:f>'[1]MAR. B.'!$F$140:$J$140</c:f>
              <c:numCache>
                <c:ptCount val="5"/>
                <c:pt idx="0">
                  <c:v>1400</c:v>
                </c:pt>
                <c:pt idx="1">
                  <c:v>1500</c:v>
                </c:pt>
                <c:pt idx="2">
                  <c:v>1650</c:v>
                </c:pt>
                <c:pt idx="3">
                  <c:v>1800</c:v>
                </c:pt>
                <c:pt idx="4">
                  <c:v>2500</c:v>
                </c:pt>
              </c:numCache>
            </c:numRef>
          </c:val>
          <c:smooth val="1"/>
        </c:ser>
        <c:marker val="1"/>
        <c:axId val="39698667"/>
        <c:axId val="21743684"/>
      </c:lineChart>
      <c:catAx>
        <c:axId val="396986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_ ;\-#,##0.0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743684"/>
        <c:crosses val="autoZero"/>
        <c:auto val="0"/>
        <c:lblOffset val="100"/>
        <c:tickLblSkip val="1"/>
        <c:noMultiLvlLbl val="0"/>
      </c:catAx>
      <c:valAx>
        <c:axId val="217436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698667"/>
        <c:crossesAt val="1"/>
        <c:crossBetween val="midCat"/>
        <c:dispUnits/>
      </c:valAx>
      <c:spPr>
        <a:gradFill rotWithShape="1">
          <a:gsLst>
            <a:gs pos="0">
              <a:srgbClr val="FFFFFF"/>
            </a:gs>
            <a:gs pos="100000">
              <a:srgbClr val="CCFFCC"/>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ALGODON</a:t>
            </a:r>
          </a:p>
        </c:rich>
      </c:tx>
      <c:layout>
        <c:manualLayout>
          <c:xMode val="factor"/>
          <c:yMode val="factor"/>
          <c:x val="0.001"/>
          <c:y val="0"/>
        </c:manualLayout>
      </c:layout>
      <c:spPr>
        <a:noFill/>
        <a:ln>
          <a:noFill/>
        </a:ln>
      </c:spPr>
    </c:title>
    <c:plotArea>
      <c:layout>
        <c:manualLayout>
          <c:xMode val="edge"/>
          <c:yMode val="edge"/>
          <c:x val="0.03"/>
          <c:y val="0.12"/>
          <c:w val="0.87075"/>
          <c:h val="0.82025"/>
        </c:manualLayout>
      </c:layout>
      <c:lineChart>
        <c:grouping val="standard"/>
        <c:varyColors val="0"/>
        <c:ser>
          <c:idx val="0"/>
          <c:order val="0"/>
          <c:spPr>
            <a:ln w="38100">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FFFF"/>
                </a:solidFill>
              </a:ln>
              <a:effectLst>
                <a:outerShdw dist="35921" dir="2700000" algn="br">
                  <a:prstClr val="black"/>
                </a:outerShdw>
              </a:effectLst>
            </c:spPr>
          </c:marker>
          <c:cat>
            <c:numRef>
              <c:f>'[1]MAR. B.'!$E$227:$J$227</c:f>
              <c:numCache>
                <c:ptCount val="5"/>
                <c:pt idx="1">
                  <c:v>-152.5697715000001</c:v>
                </c:pt>
                <c:pt idx="2">
                  <c:v>-131.70358250000004</c:v>
                </c:pt>
                <c:pt idx="3">
                  <c:v>-105.62084625000006</c:v>
                </c:pt>
                <c:pt idx="4">
                  <c:v>-79.53811000000007</c:v>
                </c:pt>
              </c:numCache>
            </c:numRef>
          </c:cat>
          <c:val>
            <c:numRef>
              <c:f>'[1]MAR. B.'!$F$182:$J$182</c:f>
              <c:numCache>
                <c:ptCount val="5"/>
                <c:pt idx="0">
                  <c:v>1300</c:v>
                </c:pt>
                <c:pt idx="1">
                  <c:v>1500</c:v>
                </c:pt>
                <c:pt idx="2">
                  <c:v>1750</c:v>
                </c:pt>
                <c:pt idx="3">
                  <c:v>2000</c:v>
                </c:pt>
                <c:pt idx="4">
                  <c:v>2300</c:v>
                </c:pt>
              </c:numCache>
            </c:numRef>
          </c:val>
          <c:smooth val="1"/>
        </c:ser>
        <c:marker val="1"/>
        <c:axId val="61475429"/>
        <c:axId val="16407950"/>
      </c:lineChart>
      <c:catAx>
        <c:axId val="614754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5"/>
              <c:y val="0.00125"/>
            </c:manualLayout>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07950"/>
        <c:crosses val="autoZero"/>
        <c:auto val="0"/>
        <c:lblOffset val="100"/>
        <c:tickLblSkip val="1"/>
        <c:noMultiLvlLbl val="0"/>
      </c:catAx>
      <c:valAx>
        <c:axId val="164079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7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75429"/>
        <c:crossesAt val="1"/>
        <c:crossBetween val="midCat"/>
        <c:dispUnits/>
      </c:valAx>
      <c:spPr>
        <a:gradFill rotWithShape="1">
          <a:gsLst>
            <a:gs pos="0">
              <a:srgbClr val="00FFFF"/>
            </a:gs>
            <a:gs pos="100000">
              <a:srgbClr val="008080"/>
            </a:gs>
          </a:gsLst>
          <a:lin ang="5400000" scaled="1"/>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MARGEN BRUTO MAIZ</a:t>
            </a:r>
          </a:p>
        </c:rich>
      </c:tx>
      <c:layout>
        <c:manualLayout>
          <c:xMode val="factor"/>
          <c:yMode val="factor"/>
          <c:x val="0.00225"/>
          <c:y val="0"/>
        </c:manualLayout>
      </c:layout>
      <c:spPr>
        <a:noFill/>
        <a:ln>
          <a:noFill/>
        </a:ln>
      </c:spPr>
    </c:title>
    <c:plotArea>
      <c:layout>
        <c:manualLayout>
          <c:xMode val="edge"/>
          <c:yMode val="edge"/>
          <c:x val="0.0365"/>
          <c:y val="0.11575"/>
          <c:w val="0.95275"/>
          <c:h val="0.818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'[1]MAR. B.'!$E$267:$J$267</c:f>
              <c:numCache>
                <c:ptCount val="5"/>
                <c:pt idx="1">
                  <c:v>7.217839999999995</c:v>
                </c:pt>
                <c:pt idx="2">
                  <c:v>17.742512000000033</c:v>
                </c:pt>
                <c:pt idx="3">
                  <c:v>24.758960000000002</c:v>
                </c:pt>
                <c:pt idx="4">
                  <c:v>33.52951999999999</c:v>
                </c:pt>
              </c:numCache>
            </c:numRef>
          </c:cat>
          <c:val>
            <c:numRef>
              <c:f>'[1]MAR. B.'!$F$237:$J$237</c:f>
              <c:numCache>
                <c:ptCount val="5"/>
                <c:pt idx="0">
                  <c:v>3500</c:v>
                </c:pt>
                <c:pt idx="1">
                  <c:v>3800</c:v>
                </c:pt>
                <c:pt idx="2">
                  <c:v>4000</c:v>
                </c:pt>
                <c:pt idx="3">
                  <c:v>4250</c:v>
                </c:pt>
                <c:pt idx="4">
                  <c:v>4750</c:v>
                </c:pt>
              </c:numCache>
            </c:numRef>
          </c:val>
          <c:smooth val="1"/>
        </c:ser>
        <c:marker val="1"/>
        <c:axId val="13453823"/>
        <c:axId val="53975544"/>
      </c:lineChart>
      <c:catAx>
        <c:axId val="134538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MARGENES</a:t>
                </a:r>
              </a:p>
            </c:rich>
          </c:tx>
          <c:layout>
            <c:manualLayout>
              <c:xMode val="factor"/>
              <c:yMode val="factor"/>
              <c:x val="-0.00475"/>
              <c:y val="0.00125"/>
            </c:manualLayout>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975544"/>
        <c:crosses val="autoZero"/>
        <c:auto val="0"/>
        <c:lblOffset val="100"/>
        <c:tickLblSkip val="1"/>
        <c:noMultiLvlLbl val="0"/>
      </c:catAx>
      <c:valAx>
        <c:axId val="539755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RINDE EN KG/HA</a:t>
                </a:r>
              </a:p>
            </c:rich>
          </c:tx>
          <c:layout>
            <c:manualLayout>
              <c:xMode val="factor"/>
              <c:yMode val="factor"/>
              <c:x val="-0.00525"/>
              <c:y val="-0.003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53823"/>
        <c:crossesAt val="1"/>
        <c:crossBetween val="midCat"/>
        <c:dispUnits/>
      </c:valAx>
      <c:spPr>
        <a:gradFill rotWithShape="1">
          <a:gsLst>
            <a:gs pos="0">
              <a:srgbClr val="003300"/>
            </a:gs>
            <a:gs pos="100000">
              <a:srgbClr val="339966"/>
            </a:gs>
          </a:gsLst>
          <a:path path="rect">
            <a:fillToRect t="100000" r="100000"/>
          </a:path>
        </a:gra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234</xdr:row>
      <xdr:rowOff>66675</xdr:rowOff>
    </xdr:from>
    <xdr:to>
      <xdr:col>3</xdr:col>
      <xdr:colOff>38100</xdr:colOff>
      <xdr:row>237</xdr:row>
      <xdr:rowOff>66675</xdr:rowOff>
    </xdr:to>
    <xdr:sp>
      <xdr:nvSpPr>
        <xdr:cNvPr id="1" name="AutoShape 1"/>
        <xdr:cNvSpPr>
          <a:spLocks/>
        </xdr:cNvSpPr>
      </xdr:nvSpPr>
      <xdr:spPr>
        <a:xfrm>
          <a:off x="3352800" y="47120175"/>
          <a:ext cx="26670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866775</xdr:colOff>
      <xdr:row>253</xdr:row>
      <xdr:rowOff>85725</xdr:rowOff>
    </xdr:from>
    <xdr:to>
      <xdr:col>3</xdr:col>
      <xdr:colOff>133350</xdr:colOff>
      <xdr:row>256</xdr:row>
      <xdr:rowOff>85725</xdr:rowOff>
    </xdr:to>
    <xdr:sp>
      <xdr:nvSpPr>
        <xdr:cNvPr id="2" name="AutoShape 2"/>
        <xdr:cNvSpPr>
          <a:spLocks/>
        </xdr:cNvSpPr>
      </xdr:nvSpPr>
      <xdr:spPr>
        <a:xfrm>
          <a:off x="3362325" y="50215800"/>
          <a:ext cx="35242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261</xdr:row>
      <xdr:rowOff>95250</xdr:rowOff>
    </xdr:from>
    <xdr:to>
      <xdr:col>3</xdr:col>
      <xdr:colOff>9525</xdr:colOff>
      <xdr:row>264</xdr:row>
      <xdr:rowOff>95250</xdr:rowOff>
    </xdr:to>
    <xdr:sp>
      <xdr:nvSpPr>
        <xdr:cNvPr id="3" name="AutoShape 3"/>
        <xdr:cNvSpPr>
          <a:spLocks/>
        </xdr:cNvSpPr>
      </xdr:nvSpPr>
      <xdr:spPr>
        <a:xfrm>
          <a:off x="3219450" y="51539775"/>
          <a:ext cx="37147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273</xdr:row>
      <xdr:rowOff>76200</xdr:rowOff>
    </xdr:from>
    <xdr:to>
      <xdr:col>2</xdr:col>
      <xdr:colOff>819150</xdr:colOff>
      <xdr:row>276</xdr:row>
      <xdr:rowOff>76200</xdr:rowOff>
    </xdr:to>
    <xdr:sp>
      <xdr:nvSpPr>
        <xdr:cNvPr id="4" name="AutoShape 4"/>
        <xdr:cNvSpPr>
          <a:spLocks/>
        </xdr:cNvSpPr>
      </xdr:nvSpPr>
      <xdr:spPr>
        <a:xfrm>
          <a:off x="3228975" y="53463825"/>
          <a:ext cx="8572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281</xdr:row>
      <xdr:rowOff>104775</xdr:rowOff>
    </xdr:from>
    <xdr:to>
      <xdr:col>3</xdr:col>
      <xdr:colOff>28575</xdr:colOff>
      <xdr:row>284</xdr:row>
      <xdr:rowOff>104775</xdr:rowOff>
    </xdr:to>
    <xdr:sp>
      <xdr:nvSpPr>
        <xdr:cNvPr id="5" name="AutoShape 5"/>
        <xdr:cNvSpPr>
          <a:spLocks/>
        </xdr:cNvSpPr>
      </xdr:nvSpPr>
      <xdr:spPr>
        <a:xfrm>
          <a:off x="3238500" y="54806850"/>
          <a:ext cx="37147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790575</xdr:colOff>
      <xdr:row>293</xdr:row>
      <xdr:rowOff>85725</xdr:rowOff>
    </xdr:from>
    <xdr:to>
      <xdr:col>3</xdr:col>
      <xdr:colOff>57150</xdr:colOff>
      <xdr:row>296</xdr:row>
      <xdr:rowOff>85725</xdr:rowOff>
    </xdr:to>
    <xdr:sp>
      <xdr:nvSpPr>
        <xdr:cNvPr id="6" name="AutoShape 6"/>
        <xdr:cNvSpPr>
          <a:spLocks/>
        </xdr:cNvSpPr>
      </xdr:nvSpPr>
      <xdr:spPr>
        <a:xfrm>
          <a:off x="3286125" y="56730900"/>
          <a:ext cx="35242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301</xdr:row>
      <xdr:rowOff>104775</xdr:rowOff>
    </xdr:from>
    <xdr:to>
      <xdr:col>3</xdr:col>
      <xdr:colOff>19050</xdr:colOff>
      <xdr:row>304</xdr:row>
      <xdr:rowOff>104775</xdr:rowOff>
    </xdr:to>
    <xdr:sp>
      <xdr:nvSpPr>
        <xdr:cNvPr id="7" name="AutoShape 7"/>
        <xdr:cNvSpPr>
          <a:spLocks/>
        </xdr:cNvSpPr>
      </xdr:nvSpPr>
      <xdr:spPr>
        <a:xfrm>
          <a:off x="3228975" y="58064400"/>
          <a:ext cx="37147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313</xdr:row>
      <xdr:rowOff>85725</xdr:rowOff>
    </xdr:from>
    <xdr:to>
      <xdr:col>3</xdr:col>
      <xdr:colOff>76200</xdr:colOff>
      <xdr:row>316</xdr:row>
      <xdr:rowOff>85725</xdr:rowOff>
    </xdr:to>
    <xdr:sp>
      <xdr:nvSpPr>
        <xdr:cNvPr id="8" name="AutoShape 8"/>
        <xdr:cNvSpPr>
          <a:spLocks/>
        </xdr:cNvSpPr>
      </xdr:nvSpPr>
      <xdr:spPr>
        <a:xfrm>
          <a:off x="3590925" y="59988450"/>
          <a:ext cx="66675"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35</xdr:row>
      <xdr:rowOff>0</xdr:rowOff>
    </xdr:from>
    <xdr:to>
      <xdr:col>1</xdr:col>
      <xdr:colOff>952500</xdr:colOff>
      <xdr:row>35</xdr:row>
      <xdr:rowOff>0</xdr:rowOff>
    </xdr:to>
    <xdr:sp>
      <xdr:nvSpPr>
        <xdr:cNvPr id="9" name="Line 9"/>
        <xdr:cNvSpPr>
          <a:spLocks/>
        </xdr:cNvSpPr>
      </xdr:nvSpPr>
      <xdr:spPr>
        <a:xfrm>
          <a:off x="1457325" y="7239000"/>
          <a:ext cx="7524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34</xdr:row>
      <xdr:rowOff>190500</xdr:rowOff>
    </xdr:from>
    <xdr:to>
      <xdr:col>2</xdr:col>
      <xdr:colOff>381000</xdr:colOff>
      <xdr:row>34</xdr:row>
      <xdr:rowOff>190500</xdr:rowOff>
    </xdr:to>
    <xdr:sp>
      <xdr:nvSpPr>
        <xdr:cNvPr id="10" name="Line 11"/>
        <xdr:cNvSpPr>
          <a:spLocks/>
        </xdr:cNvSpPr>
      </xdr:nvSpPr>
      <xdr:spPr>
        <a:xfrm>
          <a:off x="2466975" y="7229475"/>
          <a:ext cx="409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39</xdr:row>
      <xdr:rowOff>190500</xdr:rowOff>
    </xdr:from>
    <xdr:to>
      <xdr:col>1</xdr:col>
      <xdr:colOff>895350</xdr:colOff>
      <xdr:row>39</xdr:row>
      <xdr:rowOff>190500</xdr:rowOff>
    </xdr:to>
    <xdr:sp>
      <xdr:nvSpPr>
        <xdr:cNvPr id="11" name="Line 12"/>
        <xdr:cNvSpPr>
          <a:spLocks/>
        </xdr:cNvSpPr>
      </xdr:nvSpPr>
      <xdr:spPr>
        <a:xfrm>
          <a:off x="1562100" y="8248650"/>
          <a:ext cx="5905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39</xdr:row>
      <xdr:rowOff>180975</xdr:rowOff>
    </xdr:from>
    <xdr:to>
      <xdr:col>2</xdr:col>
      <xdr:colOff>476250</xdr:colOff>
      <xdr:row>39</xdr:row>
      <xdr:rowOff>180975</xdr:rowOff>
    </xdr:to>
    <xdr:sp>
      <xdr:nvSpPr>
        <xdr:cNvPr id="12" name="Line 13"/>
        <xdr:cNvSpPr>
          <a:spLocks/>
        </xdr:cNvSpPr>
      </xdr:nvSpPr>
      <xdr:spPr>
        <a:xfrm>
          <a:off x="2447925" y="8239125"/>
          <a:ext cx="523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714375</xdr:colOff>
      <xdr:row>53</xdr:row>
      <xdr:rowOff>190500</xdr:rowOff>
    </xdr:from>
    <xdr:to>
      <xdr:col>2</xdr:col>
      <xdr:colOff>447675</xdr:colOff>
      <xdr:row>54</xdr:row>
      <xdr:rowOff>0</xdr:rowOff>
    </xdr:to>
    <xdr:sp>
      <xdr:nvSpPr>
        <xdr:cNvPr id="13" name="Line 14"/>
        <xdr:cNvSpPr>
          <a:spLocks/>
        </xdr:cNvSpPr>
      </xdr:nvSpPr>
      <xdr:spPr>
        <a:xfrm flipV="1">
          <a:off x="1971675" y="11115675"/>
          <a:ext cx="9715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1000125</xdr:colOff>
      <xdr:row>58</xdr:row>
      <xdr:rowOff>180975</xdr:rowOff>
    </xdr:from>
    <xdr:to>
      <xdr:col>2</xdr:col>
      <xdr:colOff>371475</xdr:colOff>
      <xdr:row>58</xdr:row>
      <xdr:rowOff>180975</xdr:rowOff>
    </xdr:to>
    <xdr:sp>
      <xdr:nvSpPr>
        <xdr:cNvPr id="14" name="Line 15"/>
        <xdr:cNvSpPr>
          <a:spLocks/>
        </xdr:cNvSpPr>
      </xdr:nvSpPr>
      <xdr:spPr>
        <a:xfrm>
          <a:off x="2257425" y="12144375"/>
          <a:ext cx="6096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71</xdr:row>
      <xdr:rowOff>190500</xdr:rowOff>
    </xdr:from>
    <xdr:to>
      <xdr:col>2</xdr:col>
      <xdr:colOff>1076325</xdr:colOff>
      <xdr:row>71</xdr:row>
      <xdr:rowOff>190500</xdr:rowOff>
    </xdr:to>
    <xdr:sp>
      <xdr:nvSpPr>
        <xdr:cNvPr id="15" name="Line 16"/>
        <xdr:cNvSpPr>
          <a:spLocks/>
        </xdr:cNvSpPr>
      </xdr:nvSpPr>
      <xdr:spPr>
        <a:xfrm>
          <a:off x="2581275" y="14839950"/>
          <a:ext cx="990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71</xdr:row>
      <xdr:rowOff>190500</xdr:rowOff>
    </xdr:from>
    <xdr:to>
      <xdr:col>3</xdr:col>
      <xdr:colOff>762000</xdr:colOff>
      <xdr:row>71</xdr:row>
      <xdr:rowOff>190500</xdr:rowOff>
    </xdr:to>
    <xdr:sp>
      <xdr:nvSpPr>
        <xdr:cNvPr id="16" name="Line 17"/>
        <xdr:cNvSpPr>
          <a:spLocks/>
        </xdr:cNvSpPr>
      </xdr:nvSpPr>
      <xdr:spPr>
        <a:xfrm>
          <a:off x="3876675" y="14839950"/>
          <a:ext cx="466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74</xdr:row>
      <xdr:rowOff>190500</xdr:rowOff>
    </xdr:from>
    <xdr:to>
      <xdr:col>2</xdr:col>
      <xdr:colOff>990600</xdr:colOff>
      <xdr:row>75</xdr:row>
      <xdr:rowOff>0</xdr:rowOff>
    </xdr:to>
    <xdr:sp>
      <xdr:nvSpPr>
        <xdr:cNvPr id="17" name="Line 18"/>
        <xdr:cNvSpPr>
          <a:spLocks/>
        </xdr:cNvSpPr>
      </xdr:nvSpPr>
      <xdr:spPr>
        <a:xfrm flipV="1">
          <a:off x="2600325" y="15468600"/>
          <a:ext cx="885825" cy="190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74</xdr:row>
      <xdr:rowOff>190500</xdr:rowOff>
    </xdr:from>
    <xdr:to>
      <xdr:col>3</xdr:col>
      <xdr:colOff>714375</xdr:colOff>
      <xdr:row>74</xdr:row>
      <xdr:rowOff>190500</xdr:rowOff>
    </xdr:to>
    <xdr:sp>
      <xdr:nvSpPr>
        <xdr:cNvPr id="18" name="Line 19"/>
        <xdr:cNvSpPr>
          <a:spLocks/>
        </xdr:cNvSpPr>
      </xdr:nvSpPr>
      <xdr:spPr>
        <a:xfrm flipV="1">
          <a:off x="3857625" y="15468600"/>
          <a:ext cx="438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84</xdr:row>
      <xdr:rowOff>200025</xdr:rowOff>
    </xdr:from>
    <xdr:to>
      <xdr:col>2</xdr:col>
      <xdr:colOff>800100</xdr:colOff>
      <xdr:row>84</xdr:row>
      <xdr:rowOff>200025</xdr:rowOff>
    </xdr:to>
    <xdr:sp>
      <xdr:nvSpPr>
        <xdr:cNvPr id="19" name="Line 20"/>
        <xdr:cNvSpPr>
          <a:spLocks/>
        </xdr:cNvSpPr>
      </xdr:nvSpPr>
      <xdr:spPr>
        <a:xfrm>
          <a:off x="2828925" y="17506950"/>
          <a:ext cx="4667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84</xdr:row>
      <xdr:rowOff>200025</xdr:rowOff>
    </xdr:from>
    <xdr:to>
      <xdr:col>1</xdr:col>
      <xdr:colOff>1181100</xdr:colOff>
      <xdr:row>84</xdr:row>
      <xdr:rowOff>200025</xdr:rowOff>
    </xdr:to>
    <xdr:sp>
      <xdr:nvSpPr>
        <xdr:cNvPr id="20" name="Line 21"/>
        <xdr:cNvSpPr>
          <a:spLocks/>
        </xdr:cNvSpPr>
      </xdr:nvSpPr>
      <xdr:spPr>
        <a:xfrm>
          <a:off x="1333500" y="17506950"/>
          <a:ext cx="11049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190500</xdr:rowOff>
    </xdr:from>
    <xdr:to>
      <xdr:col>1</xdr:col>
      <xdr:colOff>1181100</xdr:colOff>
      <xdr:row>88</xdr:row>
      <xdr:rowOff>9525</xdr:rowOff>
    </xdr:to>
    <xdr:sp>
      <xdr:nvSpPr>
        <xdr:cNvPr id="21" name="Line 22"/>
        <xdr:cNvSpPr>
          <a:spLocks/>
        </xdr:cNvSpPr>
      </xdr:nvSpPr>
      <xdr:spPr>
        <a:xfrm flipV="1">
          <a:off x="1304925" y="18126075"/>
          <a:ext cx="1133475" cy="285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87</xdr:row>
      <xdr:rowOff>171450</xdr:rowOff>
    </xdr:from>
    <xdr:to>
      <xdr:col>2</xdr:col>
      <xdr:colOff>771525</xdr:colOff>
      <xdr:row>87</xdr:row>
      <xdr:rowOff>180975</xdr:rowOff>
    </xdr:to>
    <xdr:sp>
      <xdr:nvSpPr>
        <xdr:cNvPr id="22" name="Line 23"/>
        <xdr:cNvSpPr>
          <a:spLocks/>
        </xdr:cNvSpPr>
      </xdr:nvSpPr>
      <xdr:spPr>
        <a:xfrm flipV="1">
          <a:off x="2809875" y="18107025"/>
          <a:ext cx="45720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11</xdr:row>
      <xdr:rowOff>0</xdr:rowOff>
    </xdr:from>
    <xdr:to>
      <xdr:col>7</xdr:col>
      <xdr:colOff>323850</xdr:colOff>
      <xdr:row>14</xdr:row>
      <xdr:rowOff>0</xdr:rowOff>
    </xdr:to>
    <xdr:sp>
      <xdr:nvSpPr>
        <xdr:cNvPr id="1" name="Text Box 1"/>
        <xdr:cNvSpPr txBox="1">
          <a:spLocks noChangeArrowheads="1"/>
        </xdr:cNvSpPr>
      </xdr:nvSpPr>
      <xdr:spPr>
        <a:xfrm>
          <a:off x="3057525" y="1362075"/>
          <a:ext cx="1504950" cy="371475"/>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Se generó un saldo a favor de la A.F.I.P.
</a:t>
          </a:r>
        </a:p>
      </xdr:txBody>
    </xdr:sp>
    <xdr:clientData/>
  </xdr:twoCellAnchor>
  <xdr:twoCellAnchor>
    <xdr:from>
      <xdr:col>3</xdr:col>
      <xdr:colOff>76200</xdr:colOff>
      <xdr:row>13</xdr:row>
      <xdr:rowOff>47625</xdr:rowOff>
    </xdr:from>
    <xdr:to>
      <xdr:col>4</xdr:col>
      <xdr:colOff>104775</xdr:colOff>
      <xdr:row>14</xdr:row>
      <xdr:rowOff>0</xdr:rowOff>
    </xdr:to>
    <xdr:sp>
      <xdr:nvSpPr>
        <xdr:cNvPr id="2" name="Line 2"/>
        <xdr:cNvSpPr>
          <a:spLocks/>
        </xdr:cNvSpPr>
      </xdr:nvSpPr>
      <xdr:spPr>
        <a:xfrm flipH="1">
          <a:off x="2724150" y="1657350"/>
          <a:ext cx="428625" cy="76200"/>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15</xdr:row>
      <xdr:rowOff>76200</xdr:rowOff>
    </xdr:from>
    <xdr:to>
      <xdr:col>7</xdr:col>
      <xdr:colOff>352425</xdr:colOff>
      <xdr:row>18</xdr:row>
      <xdr:rowOff>19050</xdr:rowOff>
    </xdr:to>
    <xdr:sp>
      <xdr:nvSpPr>
        <xdr:cNvPr id="3" name="Text Box 3"/>
        <xdr:cNvSpPr txBox="1">
          <a:spLocks noChangeArrowheads="1"/>
        </xdr:cNvSpPr>
      </xdr:nvSpPr>
      <xdr:spPr>
        <a:xfrm>
          <a:off x="3143250" y="1933575"/>
          <a:ext cx="1447800" cy="3143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Utilizo los p. a cuenta.
</a:t>
          </a:r>
        </a:p>
      </xdr:txBody>
    </xdr:sp>
    <xdr:clientData/>
  </xdr:twoCellAnchor>
  <xdr:twoCellAnchor>
    <xdr:from>
      <xdr:col>3</xdr:col>
      <xdr:colOff>47625</xdr:colOff>
      <xdr:row>16</xdr:row>
      <xdr:rowOff>28575</xdr:rowOff>
    </xdr:from>
    <xdr:to>
      <xdr:col>4</xdr:col>
      <xdr:colOff>76200</xdr:colOff>
      <xdr:row>16</xdr:row>
      <xdr:rowOff>28575</xdr:rowOff>
    </xdr:to>
    <xdr:sp>
      <xdr:nvSpPr>
        <xdr:cNvPr id="4" name="Line 4"/>
        <xdr:cNvSpPr>
          <a:spLocks/>
        </xdr:cNvSpPr>
      </xdr:nvSpPr>
      <xdr:spPr>
        <a:xfrm flipH="1">
          <a:off x="2695575" y="2009775"/>
          <a:ext cx="428625" cy="0"/>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20</xdr:row>
      <xdr:rowOff>0</xdr:rowOff>
    </xdr:from>
    <xdr:to>
      <xdr:col>8</xdr:col>
      <xdr:colOff>57150</xdr:colOff>
      <xdr:row>25</xdr:row>
      <xdr:rowOff>104775</xdr:rowOff>
    </xdr:to>
    <xdr:sp>
      <xdr:nvSpPr>
        <xdr:cNvPr id="5" name="Text Box 5"/>
        <xdr:cNvSpPr txBox="1">
          <a:spLocks noChangeArrowheads="1"/>
        </xdr:cNvSpPr>
      </xdr:nvSpPr>
      <xdr:spPr>
        <a:xfrm>
          <a:off x="3133725" y="2476500"/>
          <a:ext cx="1571625" cy="7239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El saldo a pagar lo cubro con el saldo de L. disponibilidad que me quedó</a:t>
          </a:r>
        </a:p>
      </xdr:txBody>
    </xdr:sp>
    <xdr:clientData/>
  </xdr:twoCellAnchor>
  <xdr:twoCellAnchor>
    <xdr:from>
      <xdr:col>2</xdr:col>
      <xdr:colOff>333375</xdr:colOff>
      <xdr:row>17</xdr:row>
      <xdr:rowOff>38100</xdr:rowOff>
    </xdr:from>
    <xdr:to>
      <xdr:col>4</xdr:col>
      <xdr:colOff>133350</xdr:colOff>
      <xdr:row>20</xdr:row>
      <xdr:rowOff>76200</xdr:rowOff>
    </xdr:to>
    <xdr:sp>
      <xdr:nvSpPr>
        <xdr:cNvPr id="6" name="Line 6"/>
        <xdr:cNvSpPr>
          <a:spLocks/>
        </xdr:cNvSpPr>
      </xdr:nvSpPr>
      <xdr:spPr>
        <a:xfrm flipH="1" flipV="1">
          <a:off x="2600325" y="2143125"/>
          <a:ext cx="581025" cy="4095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22</xdr:row>
      <xdr:rowOff>47625</xdr:rowOff>
    </xdr:from>
    <xdr:to>
      <xdr:col>4</xdr:col>
      <xdr:colOff>171450</xdr:colOff>
      <xdr:row>25</xdr:row>
      <xdr:rowOff>19050</xdr:rowOff>
    </xdr:to>
    <xdr:sp>
      <xdr:nvSpPr>
        <xdr:cNvPr id="7" name="Line 7"/>
        <xdr:cNvSpPr>
          <a:spLocks/>
        </xdr:cNvSpPr>
      </xdr:nvSpPr>
      <xdr:spPr>
        <a:xfrm flipH="1">
          <a:off x="2333625" y="2771775"/>
          <a:ext cx="885825" cy="3429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1019175</xdr:colOff>
      <xdr:row>43</xdr:row>
      <xdr:rowOff>0</xdr:rowOff>
    </xdr:from>
    <xdr:to>
      <xdr:col>7</xdr:col>
      <xdr:colOff>257175</xdr:colOff>
      <xdr:row>47</xdr:row>
      <xdr:rowOff>95250</xdr:rowOff>
    </xdr:to>
    <xdr:sp>
      <xdr:nvSpPr>
        <xdr:cNvPr id="8" name="Text Box 8"/>
        <xdr:cNvSpPr txBox="1">
          <a:spLocks noChangeArrowheads="1"/>
        </xdr:cNvSpPr>
      </xdr:nvSpPr>
      <xdr:spPr>
        <a:xfrm>
          <a:off x="1019175" y="5324475"/>
          <a:ext cx="3476625" cy="5905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Con el saldo final de Libre Disponibilidad, puedo pagar los meses que quedó saldo a pagar, pero veamos como quedan los saldos finales</a:t>
          </a:r>
        </a:p>
      </xdr:txBody>
    </xdr:sp>
    <xdr:clientData/>
  </xdr:twoCellAnchor>
  <xdr:twoCellAnchor>
    <xdr:from>
      <xdr:col>7</xdr:col>
      <xdr:colOff>85725</xdr:colOff>
      <xdr:row>42</xdr:row>
      <xdr:rowOff>0</xdr:rowOff>
    </xdr:from>
    <xdr:to>
      <xdr:col>7</xdr:col>
      <xdr:colOff>238125</xdr:colOff>
      <xdr:row>42</xdr:row>
      <xdr:rowOff>123825</xdr:rowOff>
    </xdr:to>
    <xdr:sp>
      <xdr:nvSpPr>
        <xdr:cNvPr id="9" name="Line 9"/>
        <xdr:cNvSpPr>
          <a:spLocks/>
        </xdr:cNvSpPr>
      </xdr:nvSpPr>
      <xdr:spPr>
        <a:xfrm flipV="1">
          <a:off x="4324350" y="5200650"/>
          <a:ext cx="152400" cy="123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114300</xdr:rowOff>
    </xdr:from>
    <xdr:to>
      <xdr:col>1</xdr:col>
      <xdr:colOff>304800</xdr:colOff>
      <xdr:row>7</xdr:row>
      <xdr:rowOff>152400</xdr:rowOff>
    </xdr:to>
    <xdr:sp>
      <xdr:nvSpPr>
        <xdr:cNvPr id="1" name="Line 1"/>
        <xdr:cNvSpPr>
          <a:spLocks/>
        </xdr:cNvSpPr>
      </xdr:nvSpPr>
      <xdr:spPr>
        <a:xfrm>
          <a:off x="95250" y="609600"/>
          <a:ext cx="476250" cy="6953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0</xdr:rowOff>
    </xdr:from>
    <xdr:to>
      <xdr:col>1</xdr:col>
      <xdr:colOff>723900</xdr:colOff>
      <xdr:row>7</xdr:row>
      <xdr:rowOff>152400</xdr:rowOff>
    </xdr:to>
    <xdr:sp>
      <xdr:nvSpPr>
        <xdr:cNvPr id="2" name="Line 2"/>
        <xdr:cNvSpPr>
          <a:spLocks/>
        </xdr:cNvSpPr>
      </xdr:nvSpPr>
      <xdr:spPr>
        <a:xfrm flipH="1">
          <a:off x="552450" y="828675"/>
          <a:ext cx="438150" cy="4762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5</xdr:row>
      <xdr:rowOff>9525</xdr:rowOff>
    </xdr:from>
    <xdr:to>
      <xdr:col>2</xdr:col>
      <xdr:colOff>304800</xdr:colOff>
      <xdr:row>8</xdr:row>
      <xdr:rowOff>0</xdr:rowOff>
    </xdr:to>
    <xdr:sp>
      <xdr:nvSpPr>
        <xdr:cNvPr id="3" name="Line 3"/>
        <xdr:cNvSpPr>
          <a:spLocks/>
        </xdr:cNvSpPr>
      </xdr:nvSpPr>
      <xdr:spPr>
        <a:xfrm flipH="1">
          <a:off x="581025" y="838200"/>
          <a:ext cx="1476375" cy="4762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7</xdr:row>
      <xdr:rowOff>152400</xdr:rowOff>
    </xdr:from>
    <xdr:to>
      <xdr:col>4</xdr:col>
      <xdr:colOff>95250</xdr:colOff>
      <xdr:row>8</xdr:row>
      <xdr:rowOff>0</xdr:rowOff>
    </xdr:to>
    <xdr:sp>
      <xdr:nvSpPr>
        <xdr:cNvPr id="4" name="Line 4"/>
        <xdr:cNvSpPr>
          <a:spLocks/>
        </xdr:cNvSpPr>
      </xdr:nvSpPr>
      <xdr:spPr>
        <a:xfrm flipV="1">
          <a:off x="590550" y="1304925"/>
          <a:ext cx="2867025" cy="9525"/>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7</xdr:row>
      <xdr:rowOff>133350</xdr:rowOff>
    </xdr:from>
    <xdr:to>
      <xdr:col>11</xdr:col>
      <xdr:colOff>295275</xdr:colOff>
      <xdr:row>21</xdr:row>
      <xdr:rowOff>104775</xdr:rowOff>
    </xdr:to>
    <xdr:sp>
      <xdr:nvSpPr>
        <xdr:cNvPr id="5" name="Text Box 5"/>
        <xdr:cNvSpPr txBox="1">
          <a:spLocks noChangeArrowheads="1"/>
        </xdr:cNvSpPr>
      </xdr:nvSpPr>
      <xdr:spPr>
        <a:xfrm>
          <a:off x="3448050" y="1285875"/>
          <a:ext cx="3971925" cy="2266950"/>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Estos datos consisten en la identificación del empleado, su número de legajo, su apellido y nombre, y el número de C.U.I.L., (Clave única de identificación laboral) mediante la cual los aportes y contribuciones que se realicen se acumulan en su cuenta personal. La C.U.I.L. brinda la seguridad de que no existe otra persona con el mismo número de identificación y está compuesta por dos dígitos iniciales, ocho dígitos centrales (que coinciden con el número de documento de identidad) y un dígito final, es otorgado por la A.N.Sé.S. (Administración Nacional de Seguridad Social) a solicitud del interesado o de la empresa empleadora.</a:t>
          </a:r>
        </a:p>
      </xdr:txBody>
    </xdr:sp>
    <xdr:clientData/>
  </xdr:twoCellAnchor>
  <xdr:twoCellAnchor>
    <xdr:from>
      <xdr:col>1</xdr:col>
      <xdr:colOff>504825</xdr:colOff>
      <xdr:row>34</xdr:row>
      <xdr:rowOff>123825</xdr:rowOff>
    </xdr:from>
    <xdr:to>
      <xdr:col>16</xdr:col>
      <xdr:colOff>428625</xdr:colOff>
      <xdr:row>54</xdr:row>
      <xdr:rowOff>76200</xdr:rowOff>
    </xdr:to>
    <xdr:sp>
      <xdr:nvSpPr>
        <xdr:cNvPr id="6" name="Text Box 6"/>
        <xdr:cNvSpPr txBox="1">
          <a:spLocks noChangeArrowheads="1"/>
        </xdr:cNvSpPr>
      </xdr:nvSpPr>
      <xdr:spPr>
        <a:xfrm>
          <a:off x="771525" y="5753100"/>
          <a:ext cx="9296400" cy="320992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Estos datos nos lleven al punto de partida para el cálculo de los Aportes, las Contribuciones y el sueldo a pagar.
</a:t>
          </a:r>
          <a:r>
            <a:rPr lang="en-US" cap="none" sz="1200" b="1" i="0" u="none" baseline="0">
              <a:solidFill>
                <a:srgbClr val="000000"/>
              </a:solidFill>
              <a:latin typeface="Times New Roman"/>
              <a:ea typeface="Times New Roman"/>
              <a:cs typeface="Times New Roman"/>
            </a:rPr>
            <a:t>La fecha de ingreso</a:t>
          </a:r>
          <a:r>
            <a:rPr lang="en-US" cap="none" sz="1200" b="0" i="0" u="none" baseline="0">
              <a:solidFill>
                <a:srgbClr val="000000"/>
              </a:solidFill>
              <a:latin typeface="Times New Roman"/>
              <a:ea typeface="Times New Roman"/>
              <a:cs typeface="Times New Roman"/>
            </a:rPr>
            <a:t> es un dato necesario para el cálculo de la antigüedad, teniendo en cuenta que se debe tomar el entero, sin decimales, vale decir no se debe computar un año hasta que este no se haya cumplido exactamente, por ejemplo si tiene 2 años y 8 meses de antigüedad, se deben computar sólo dos años para el adicional.
</a:t>
          </a:r>
          <a:r>
            <a:rPr lang="en-US" cap="none" sz="1200" b="1" i="0" u="none" baseline="0">
              <a:solidFill>
                <a:srgbClr val="000000"/>
              </a:solidFill>
              <a:latin typeface="Times New Roman"/>
              <a:ea typeface="Times New Roman"/>
              <a:cs typeface="Times New Roman"/>
            </a:rPr>
            <a:t>La antigüedad</a:t>
          </a:r>
          <a:r>
            <a:rPr lang="en-US" cap="none" sz="1200" b="0" i="0" u="none" baseline="0">
              <a:solidFill>
                <a:srgbClr val="000000"/>
              </a:solidFill>
              <a:latin typeface="Times New Roman"/>
              <a:ea typeface="Times New Roman"/>
              <a:cs typeface="Times New Roman"/>
            </a:rPr>
            <a:t>, se calcula del modo que ya lo mencionamos y será un dato importante puesto que genera adicionales sobre el sueldo básico.
</a:t>
          </a:r>
          <a:r>
            <a:rPr lang="en-US" cap="none" sz="1200" b="1" i="0" u="none" baseline="0">
              <a:solidFill>
                <a:srgbClr val="000000"/>
              </a:solidFill>
              <a:latin typeface="Times New Roman"/>
              <a:ea typeface="Times New Roman"/>
              <a:cs typeface="Times New Roman"/>
            </a:rPr>
            <a:t>El sueldo básico</a:t>
          </a:r>
          <a:r>
            <a:rPr lang="en-US" cap="none" sz="1200" b="0" i="0" u="none" baseline="0">
              <a:solidFill>
                <a:srgbClr val="000000"/>
              </a:solidFill>
              <a:latin typeface="Times New Roman"/>
              <a:ea typeface="Times New Roman"/>
              <a:cs typeface="Times New Roman"/>
            </a:rPr>
            <a:t>, depende de la categoría del empleado, en base a la tarea que desempeña y sobre él se estiman los adicionales que integran el sueldo bruto. En el ejemplo $500, sueldo básico correspondiente a la categoría de peón general.
</a:t>
          </a:r>
          <a:r>
            <a:rPr lang="en-US" cap="none" sz="1200" b="1" i="0" u="none" baseline="0">
              <a:solidFill>
                <a:srgbClr val="000000"/>
              </a:solidFill>
              <a:latin typeface="Times New Roman"/>
              <a:ea typeface="Times New Roman"/>
              <a:cs typeface="Times New Roman"/>
            </a:rPr>
            <a:t>Los adicionales</a:t>
          </a:r>
          <a:r>
            <a:rPr lang="en-US" cap="none" sz="1200" b="0" i="0" u="none" baseline="0">
              <a:solidFill>
                <a:srgbClr val="000000"/>
              </a:solidFill>
              <a:latin typeface="Times New Roman"/>
              <a:ea typeface="Times New Roman"/>
              <a:cs typeface="Times New Roman"/>
            </a:rPr>
            <a:t>, reflejan el incremento del sueldo básico del modo siguiente, </a:t>
          </a:r>
          <a:r>
            <a:rPr lang="en-US" cap="none" sz="1200" b="0" i="0" u="sng" baseline="0">
              <a:solidFill>
                <a:srgbClr val="000000"/>
              </a:solidFill>
              <a:latin typeface="Times New Roman"/>
              <a:ea typeface="Times New Roman"/>
              <a:cs typeface="Times New Roman"/>
            </a:rPr>
            <a:t>la antigüedad</a:t>
          </a:r>
          <a:r>
            <a:rPr lang="en-US" cap="none" sz="1200" b="0" i="0" u="none" baseline="0">
              <a:solidFill>
                <a:srgbClr val="000000"/>
              </a:solidFill>
              <a:latin typeface="Times New Roman"/>
              <a:ea typeface="Times New Roman"/>
              <a:cs typeface="Times New Roman"/>
            </a:rPr>
            <a:t> consiste en otorgarle un beneficio del 1% por cada año de servicio completo, es por eso que al calcular la antigüedad tomamos el número entero sin decimales. Por ejemplo: Para un empleado con 2 años y 10 meses de servicio, el adicional será del 7%; 500 x 2% = 35. </a:t>
          </a:r>
          <a:r>
            <a:rPr lang="en-US" cap="none" sz="1200" b="0" i="0" u="sng" baseline="0">
              <a:solidFill>
                <a:srgbClr val="000000"/>
              </a:solidFill>
              <a:latin typeface="Times New Roman"/>
              <a:ea typeface="Times New Roman"/>
              <a:cs typeface="Times New Roman"/>
            </a:rPr>
            <a:t>El presentismo</a:t>
          </a:r>
          <a:r>
            <a:rPr lang="en-US" cap="none" sz="1200" b="0" i="0" u="none" baseline="0">
              <a:solidFill>
                <a:srgbClr val="000000"/>
              </a:solidFill>
              <a:latin typeface="Times New Roman"/>
              <a:ea typeface="Times New Roman"/>
              <a:cs typeface="Times New Roman"/>
            </a:rPr>
            <a:t> premia la asistencia al trabajo con un 5% sobre el sueldo básico, cualquiera sea la categoría y antigüedad del trabajador. 500 x 5% = 25
</a:t>
          </a:r>
          <a:r>
            <a:rPr lang="en-US" cap="none" sz="1200" b="1" i="0" u="none" baseline="0">
              <a:solidFill>
                <a:srgbClr val="000000"/>
              </a:solidFill>
              <a:latin typeface="Times New Roman"/>
              <a:ea typeface="Times New Roman"/>
              <a:cs typeface="Times New Roman"/>
            </a:rPr>
            <a:t>Sueldo Bruto</a:t>
          </a:r>
          <a:r>
            <a:rPr lang="en-US" cap="none" sz="1200" b="0" i="0" u="none" baseline="0">
              <a:solidFill>
                <a:srgbClr val="000000"/>
              </a:solidFill>
              <a:latin typeface="Times New Roman"/>
              <a:ea typeface="Times New Roman"/>
              <a:cs typeface="Times New Roman"/>
            </a:rPr>
            <a:t>, es la suma del Sueldo Básico más los adicionales, cuando existan. Sobre él se calculan tanto los Aportes como las Contribuciones en los porcentuales que se indican.500 + 35 + 25 = 560,00.
</a:t>
          </a:r>
        </a:p>
      </xdr:txBody>
    </xdr:sp>
    <xdr:clientData/>
  </xdr:twoCellAnchor>
  <xdr:twoCellAnchor>
    <xdr:from>
      <xdr:col>9</xdr:col>
      <xdr:colOff>352425</xdr:colOff>
      <xdr:row>32</xdr:row>
      <xdr:rowOff>9525</xdr:rowOff>
    </xdr:from>
    <xdr:to>
      <xdr:col>9</xdr:col>
      <xdr:colOff>476250</xdr:colOff>
      <xdr:row>34</xdr:row>
      <xdr:rowOff>133350</xdr:rowOff>
    </xdr:to>
    <xdr:sp>
      <xdr:nvSpPr>
        <xdr:cNvPr id="7" name="Line 7"/>
        <xdr:cNvSpPr>
          <a:spLocks/>
        </xdr:cNvSpPr>
      </xdr:nvSpPr>
      <xdr:spPr>
        <a:xfrm flipH="1">
          <a:off x="6391275" y="5314950"/>
          <a:ext cx="123825" cy="4476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114300</xdr:rowOff>
    </xdr:from>
    <xdr:to>
      <xdr:col>8</xdr:col>
      <xdr:colOff>238125</xdr:colOff>
      <xdr:row>86</xdr:row>
      <xdr:rowOff>76200</xdr:rowOff>
    </xdr:to>
    <xdr:sp>
      <xdr:nvSpPr>
        <xdr:cNvPr id="8" name="Text Box 8"/>
        <xdr:cNvSpPr txBox="1">
          <a:spLocks noChangeArrowheads="1"/>
        </xdr:cNvSpPr>
      </xdr:nvSpPr>
      <xdr:spPr>
        <a:xfrm>
          <a:off x="552450" y="10810875"/>
          <a:ext cx="5276850" cy="34194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Vemos aquí los Aportes que el empleado hace a las diferentes Cajas referidas a la seguridad Social, mediante la deducción de los porcentajes que se indican en cada caso de su sueldo bruto.
</a:t>
          </a:r>
          <a:r>
            <a:rPr lang="en-US" cap="none" sz="1200" b="0" i="0" u="none" baseline="0">
              <a:solidFill>
                <a:srgbClr val="000000"/>
              </a:solidFill>
              <a:latin typeface="Times New Roman"/>
              <a:ea typeface="Times New Roman"/>
              <a:cs typeface="Times New Roman"/>
            </a:rPr>
            <a:t>Para </a:t>
          </a:r>
          <a:r>
            <a:rPr lang="en-US" cap="none" sz="1200" b="1" i="0" u="none" baseline="0">
              <a:solidFill>
                <a:srgbClr val="000000"/>
              </a:solidFill>
              <a:latin typeface="Times New Roman"/>
              <a:ea typeface="Times New Roman"/>
              <a:cs typeface="Times New Roman"/>
            </a:rPr>
            <a:t>Jubilación</a:t>
          </a:r>
          <a:r>
            <a:rPr lang="en-US" cap="none" sz="1200" b="0" i="0" u="none" baseline="0">
              <a:solidFill>
                <a:srgbClr val="000000"/>
              </a:solidFill>
              <a:latin typeface="Times New Roman"/>
              <a:ea typeface="Times New Roman"/>
              <a:cs typeface="Times New Roman"/>
            </a:rPr>
            <a:t> la deducción es del </a:t>
          </a:r>
          <a:r>
            <a:rPr lang="en-US" cap="none" sz="1200" b="1" i="0" u="none" baseline="0">
              <a:solidFill>
                <a:srgbClr val="000000"/>
              </a:solidFill>
              <a:latin typeface="Times New Roman"/>
              <a:ea typeface="Times New Roman"/>
              <a:cs typeface="Times New Roman"/>
            </a:rPr>
            <a:t>11%</a:t>
          </a:r>
          <a:r>
            <a:rPr lang="en-US" cap="none" sz="1200" b="0" i="0" u="none" baseline="0">
              <a:solidFill>
                <a:srgbClr val="000000"/>
              </a:solidFill>
              <a:latin typeface="Times New Roman"/>
              <a:ea typeface="Times New Roman"/>
              <a:cs typeface="Times New Roman"/>
            </a:rPr>
            <a:t>, (560 x 11% = 61,6) la </a:t>
          </a:r>
          <a:r>
            <a:rPr lang="en-US" cap="none" sz="1200" b="1" i="0" u="none" baseline="0">
              <a:solidFill>
                <a:srgbClr val="000000"/>
              </a:solidFill>
              <a:latin typeface="Times New Roman"/>
              <a:ea typeface="Times New Roman"/>
              <a:cs typeface="Times New Roman"/>
            </a:rPr>
            <a:t>Ley 19.032</a:t>
          </a:r>
          <a:r>
            <a:rPr lang="en-US" cap="none" sz="1200" b="0" i="0" u="none" baseline="0">
              <a:solidFill>
                <a:srgbClr val="000000"/>
              </a:solidFill>
              <a:latin typeface="Times New Roman"/>
              <a:ea typeface="Times New Roman"/>
              <a:cs typeface="Times New Roman"/>
            </a:rPr>
            <a:t> cuyos fondos se utilizan para financiar al PAMI, tiene una deducción del </a:t>
          </a:r>
          <a:r>
            <a:rPr lang="en-US" cap="none" sz="1200" b="1" i="0" u="none" baseline="0">
              <a:solidFill>
                <a:srgbClr val="000000"/>
              </a:solidFill>
              <a:latin typeface="Times New Roman"/>
              <a:ea typeface="Times New Roman"/>
              <a:cs typeface="Times New Roman"/>
            </a:rPr>
            <a:t>3%(560 x 3% = 16,80)</a:t>
          </a:r>
          <a:r>
            <a:rPr lang="en-US" cap="none" sz="1200" b="0" i="0" u="none" baseline="0">
              <a:solidFill>
                <a:srgbClr val="000000"/>
              </a:solidFill>
              <a:latin typeface="Times New Roman"/>
              <a:ea typeface="Times New Roman"/>
              <a:cs typeface="Times New Roman"/>
            </a:rPr>
            <a:t>; el </a:t>
          </a:r>
          <a:r>
            <a:rPr lang="en-US" cap="none" sz="1200" b="1" i="0" u="none" baseline="0">
              <a:solidFill>
                <a:srgbClr val="000000"/>
              </a:solidFill>
              <a:latin typeface="Times New Roman"/>
              <a:ea typeface="Times New Roman"/>
              <a:cs typeface="Times New Roman"/>
            </a:rPr>
            <a:t>2,7%</a:t>
          </a:r>
          <a:r>
            <a:rPr lang="en-US" cap="none" sz="1200" b="0" i="0" u="none" baseline="0">
              <a:solidFill>
                <a:srgbClr val="000000"/>
              </a:solidFill>
              <a:latin typeface="Times New Roman"/>
              <a:ea typeface="Times New Roman"/>
              <a:cs typeface="Times New Roman"/>
            </a:rPr>
            <a:t> se reserva para la </a:t>
          </a:r>
          <a:r>
            <a:rPr lang="en-US" cap="none" sz="1200" b="1" i="0" u="none" baseline="0">
              <a:solidFill>
                <a:srgbClr val="000000"/>
              </a:solidFill>
              <a:latin typeface="Times New Roman"/>
              <a:ea typeface="Times New Roman"/>
              <a:cs typeface="Times New Roman"/>
            </a:rPr>
            <a:t>Obra social</a:t>
          </a:r>
          <a:r>
            <a:rPr lang="en-US" cap="none" sz="1200" b="0" i="0" u="none" baseline="0">
              <a:solidFill>
                <a:srgbClr val="000000"/>
              </a:solidFill>
              <a:latin typeface="Times New Roman"/>
              <a:ea typeface="Times New Roman"/>
              <a:cs typeface="Times New Roman"/>
            </a:rPr>
            <a:t> (560 x 2,7% = 15,12) y el</a:t>
          </a:r>
          <a:r>
            <a:rPr lang="en-US" cap="none" sz="1200" b="1" i="0" u="none" baseline="0">
              <a:solidFill>
                <a:srgbClr val="000000"/>
              </a:solidFill>
              <a:latin typeface="Times New Roman"/>
              <a:ea typeface="Times New Roman"/>
              <a:cs typeface="Times New Roman"/>
            </a:rPr>
            <a:t> 0,3%</a:t>
          </a:r>
          <a:r>
            <a:rPr lang="en-US" cap="none" sz="1200" b="0" i="0" u="none" baseline="0">
              <a:solidFill>
                <a:srgbClr val="000000"/>
              </a:solidFill>
              <a:latin typeface="Times New Roman"/>
              <a:ea typeface="Times New Roman"/>
              <a:cs typeface="Times New Roman"/>
            </a:rPr>
            <a:t> para </a:t>
          </a:r>
          <a:r>
            <a:rPr lang="en-US" cap="none" sz="1200" b="1" i="0" u="none" baseline="0">
              <a:solidFill>
                <a:srgbClr val="000000"/>
              </a:solidFill>
              <a:latin typeface="Times New Roman"/>
              <a:ea typeface="Times New Roman"/>
              <a:cs typeface="Times New Roman"/>
            </a:rPr>
            <a:t>A.N.S.SAL.</a:t>
          </a:r>
          <a:r>
            <a:rPr lang="en-US" cap="none" sz="1200" b="0" i="0" u="none" baseline="0">
              <a:solidFill>
                <a:srgbClr val="000000"/>
              </a:solidFill>
              <a:latin typeface="Times New Roman"/>
              <a:ea typeface="Times New Roman"/>
              <a:cs typeface="Times New Roman"/>
            </a:rPr>
            <a:t> (Administración Nacional de Seguro de Salud)(560 x 0,3% = 1,68). El </a:t>
          </a:r>
          <a:r>
            <a:rPr lang="en-US" cap="none" sz="1200" b="1" i="0" u="none" baseline="0">
              <a:solidFill>
                <a:srgbClr val="000000"/>
              </a:solidFill>
              <a:latin typeface="Times New Roman"/>
              <a:ea typeface="Times New Roman"/>
              <a:cs typeface="Times New Roman"/>
            </a:rPr>
            <a:t>1,5%</a:t>
          </a:r>
          <a:r>
            <a:rPr lang="en-US" cap="none" sz="1200" b="0" i="0" u="none" baseline="0">
              <a:solidFill>
                <a:srgbClr val="000000"/>
              </a:solidFill>
              <a:latin typeface="Times New Roman"/>
              <a:ea typeface="Times New Roman"/>
              <a:cs typeface="Times New Roman"/>
            </a:rPr>
            <a:t> de </a:t>
          </a:r>
          <a:r>
            <a:rPr lang="en-US" cap="none" sz="1200" b="1" i="0" u="none" baseline="0">
              <a:solidFill>
                <a:srgbClr val="000000"/>
              </a:solidFill>
              <a:latin typeface="Times New Roman"/>
              <a:ea typeface="Times New Roman"/>
              <a:cs typeface="Times New Roman"/>
            </a:rPr>
            <a:t>Seguro de Sepelio</a:t>
          </a:r>
          <a:r>
            <a:rPr lang="en-US" cap="none" sz="1200" b="0" i="0" u="none" baseline="0">
              <a:solidFill>
                <a:srgbClr val="000000"/>
              </a:solidFill>
              <a:latin typeface="Times New Roman"/>
              <a:ea typeface="Times New Roman"/>
              <a:cs typeface="Times New Roman"/>
            </a:rPr>
            <a:t> cubre los gastos que se generarían en caso de fallecimiento del trabajador (560 x 1,5% = 8,40). En todos los casos estos porcentajes se calculan sobre el </a:t>
          </a:r>
          <a:r>
            <a:rPr lang="en-US" cap="none" sz="1200" b="0" i="0" u="sng" baseline="0">
              <a:solidFill>
                <a:srgbClr val="000000"/>
              </a:solidFill>
              <a:latin typeface="Times New Roman"/>
              <a:ea typeface="Times New Roman"/>
              <a:cs typeface="Times New Roman"/>
            </a:rPr>
            <a:t>Sueldo Bruto (560,00)</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 caso de que el trabajador esté afiliado al gremio, recibe además una deducción del 2%.
</a:t>
          </a:r>
          <a:r>
            <a:rPr lang="en-US" cap="none" sz="1200" b="0" i="0" u="none" baseline="0">
              <a:solidFill>
                <a:srgbClr val="000000"/>
              </a:solidFill>
              <a:latin typeface="Times New Roman"/>
              <a:ea typeface="Times New Roman"/>
              <a:cs typeface="Times New Roman"/>
            </a:rPr>
            <a:t>El </a:t>
          </a:r>
          <a:r>
            <a:rPr lang="en-US" cap="none" sz="1200" b="1" i="0" u="none" baseline="0">
              <a:solidFill>
                <a:srgbClr val="000000"/>
              </a:solidFill>
              <a:latin typeface="Times New Roman"/>
              <a:ea typeface="Times New Roman"/>
              <a:cs typeface="Times New Roman"/>
            </a:rPr>
            <a:t>Total de aportes personales</a:t>
          </a:r>
          <a:r>
            <a:rPr lang="en-US" cap="none" sz="1200" b="0" i="0" u="none" baseline="0">
              <a:solidFill>
                <a:srgbClr val="000000"/>
              </a:solidFill>
              <a:latin typeface="Times New Roman"/>
              <a:ea typeface="Times New Roman"/>
              <a:cs typeface="Times New Roman"/>
            </a:rPr>
            <a:t>, es la suma de cada una de la deducciones que detallamos antes. (61,6 + 16,80 + 15,12 + 1,68 +8,4 = 103,60)
</a:t>
          </a:r>
        </a:p>
      </xdr:txBody>
    </xdr:sp>
    <xdr:clientData/>
  </xdr:twoCellAnchor>
  <xdr:twoCellAnchor>
    <xdr:from>
      <xdr:col>7</xdr:col>
      <xdr:colOff>390525</xdr:colOff>
      <xdr:row>61</xdr:row>
      <xdr:rowOff>9525</xdr:rowOff>
    </xdr:from>
    <xdr:to>
      <xdr:col>10</xdr:col>
      <xdr:colOff>19050</xdr:colOff>
      <xdr:row>65</xdr:row>
      <xdr:rowOff>95250</xdr:rowOff>
    </xdr:to>
    <xdr:sp>
      <xdr:nvSpPr>
        <xdr:cNvPr id="9" name="Line 9"/>
        <xdr:cNvSpPr>
          <a:spLocks/>
        </xdr:cNvSpPr>
      </xdr:nvSpPr>
      <xdr:spPr>
        <a:xfrm flipH="1">
          <a:off x="5410200" y="10048875"/>
          <a:ext cx="1228725" cy="7429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97</xdr:row>
      <xdr:rowOff>66675</xdr:rowOff>
    </xdr:from>
    <xdr:to>
      <xdr:col>13</xdr:col>
      <xdr:colOff>228600</xdr:colOff>
      <xdr:row>114</xdr:row>
      <xdr:rowOff>95250</xdr:rowOff>
    </xdr:to>
    <xdr:sp>
      <xdr:nvSpPr>
        <xdr:cNvPr id="10" name="Text Box 10"/>
        <xdr:cNvSpPr txBox="1">
          <a:spLocks noChangeArrowheads="1"/>
        </xdr:cNvSpPr>
      </xdr:nvSpPr>
      <xdr:spPr>
        <a:xfrm>
          <a:off x="3705225" y="16011525"/>
          <a:ext cx="4819650" cy="28479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El sueldo neto </a:t>
          </a:r>
          <a:r>
            <a:rPr lang="en-US" cap="none" sz="1200" b="0" i="0" u="none" baseline="0">
              <a:solidFill>
                <a:srgbClr val="000000"/>
              </a:solidFill>
              <a:latin typeface="Times New Roman"/>
              <a:ea typeface="Times New Roman"/>
              <a:cs typeface="Times New Roman"/>
            </a:rPr>
            <a:t>resulta de la diferencia entre el </a:t>
          </a:r>
          <a:r>
            <a:rPr lang="en-US" cap="none" sz="1200" b="0" i="0" u="sng" baseline="0">
              <a:solidFill>
                <a:srgbClr val="000000"/>
              </a:solidFill>
              <a:latin typeface="Times New Roman"/>
              <a:ea typeface="Times New Roman"/>
              <a:cs typeface="Times New Roman"/>
            </a:rPr>
            <a:t>Sueldo Bruto</a:t>
          </a:r>
          <a:r>
            <a:rPr lang="en-US" cap="none" sz="1200" b="0" i="0" u="none" baseline="0">
              <a:solidFill>
                <a:srgbClr val="000000"/>
              </a:solidFill>
              <a:latin typeface="Times New Roman"/>
              <a:ea typeface="Times New Roman"/>
              <a:cs typeface="Times New Roman"/>
            </a:rPr>
            <a:t> y el </a:t>
          </a:r>
          <a:r>
            <a:rPr lang="en-US" cap="none" sz="1200" b="0" i="0" u="sng" baseline="0">
              <a:solidFill>
                <a:srgbClr val="000000"/>
              </a:solidFill>
              <a:latin typeface="Times New Roman"/>
              <a:ea typeface="Times New Roman"/>
              <a:cs typeface="Times New Roman"/>
            </a:rPr>
            <a:t>Total de Deducciones.</a:t>
          </a:r>
          <a:r>
            <a:rPr lang="en-US" cap="none" sz="1200" b="0" i="0" u="none" baseline="0">
              <a:solidFill>
                <a:srgbClr val="000000"/>
              </a:solidFill>
              <a:latin typeface="Times New Roman"/>
              <a:ea typeface="Times New Roman"/>
              <a:cs typeface="Times New Roman"/>
            </a:rPr>
            <a:t> 560,00 - 103,60 = 456,40.
</a:t>
          </a:r>
          <a:r>
            <a:rPr lang="en-US" cap="none" sz="1200" b="1" i="0" u="none" baseline="0">
              <a:solidFill>
                <a:srgbClr val="000000"/>
              </a:solidFill>
              <a:latin typeface="Times New Roman"/>
              <a:ea typeface="Times New Roman"/>
              <a:cs typeface="Times New Roman"/>
            </a:rPr>
            <a:t>Las asignaciones familiares</a:t>
          </a:r>
          <a:r>
            <a:rPr lang="en-US" cap="none" sz="1200" b="0" i="0" u="none" baseline="0">
              <a:solidFill>
                <a:srgbClr val="000000"/>
              </a:solidFill>
              <a:latin typeface="Times New Roman"/>
              <a:ea typeface="Times New Roman"/>
              <a:cs typeface="Times New Roman"/>
            </a:rPr>
            <a:t> dependen del sueldo que pèrciba el trabajador, pagándose $60 por hijo para aquellos trabajadores que perciban haberes inferiores a los $500 o de $45 por hijo para aquellos trabajadores cuyo sueldo oscile entre $500 y $1.000. En ningún caso se paga asignación por esposa, pero pueden incluirse otros conceptos como: familia numerosa, nacimientos, adopciones, casamientos, etc. los trabajadores cuyos sueldos superen los $2.500 no perciben asignacines.
</a:t>
          </a:r>
          <a:r>
            <a:rPr lang="en-US" cap="none" sz="1200" b="1" i="0" u="none" baseline="0">
              <a:solidFill>
                <a:srgbClr val="000000"/>
              </a:solidFill>
              <a:latin typeface="Times New Roman"/>
              <a:ea typeface="Times New Roman"/>
              <a:cs typeface="Times New Roman"/>
            </a:rPr>
            <a:t>Importe a cobrar</a:t>
          </a:r>
          <a:r>
            <a:rPr lang="en-US" cap="none" sz="1200" b="0" i="0" u="none" baseline="0">
              <a:solidFill>
                <a:srgbClr val="000000"/>
              </a:solidFill>
              <a:latin typeface="Times New Roman"/>
              <a:ea typeface="Times New Roman"/>
              <a:cs typeface="Times New Roman"/>
            </a:rPr>
            <a:t> es la suma del neto más las asignaciones familiares. 456,40 + 120 = 576,40.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6</xdr:col>
      <xdr:colOff>28575</xdr:colOff>
      <xdr:row>96</xdr:row>
      <xdr:rowOff>114300</xdr:rowOff>
    </xdr:from>
    <xdr:to>
      <xdr:col>15</xdr:col>
      <xdr:colOff>390525</xdr:colOff>
      <xdr:row>96</xdr:row>
      <xdr:rowOff>114300</xdr:rowOff>
    </xdr:to>
    <xdr:sp>
      <xdr:nvSpPr>
        <xdr:cNvPr id="11" name="Line 11"/>
        <xdr:cNvSpPr>
          <a:spLocks/>
        </xdr:cNvSpPr>
      </xdr:nvSpPr>
      <xdr:spPr>
        <a:xfrm flipH="1">
          <a:off x="4495800" y="15897225"/>
          <a:ext cx="50673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96</xdr:row>
      <xdr:rowOff>133350</xdr:rowOff>
    </xdr:from>
    <xdr:to>
      <xdr:col>6</xdr:col>
      <xdr:colOff>19050</xdr:colOff>
      <xdr:row>97</xdr:row>
      <xdr:rowOff>123825</xdr:rowOff>
    </xdr:to>
    <xdr:sp>
      <xdr:nvSpPr>
        <xdr:cNvPr id="12" name="Line 12"/>
        <xdr:cNvSpPr>
          <a:spLocks/>
        </xdr:cNvSpPr>
      </xdr:nvSpPr>
      <xdr:spPr>
        <a:xfrm>
          <a:off x="4486275" y="15916275"/>
          <a:ext cx="0" cy="152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96</xdr:row>
      <xdr:rowOff>161925</xdr:rowOff>
    </xdr:from>
    <xdr:to>
      <xdr:col>17</xdr:col>
      <xdr:colOff>28575</xdr:colOff>
      <xdr:row>96</xdr:row>
      <xdr:rowOff>161925</xdr:rowOff>
    </xdr:to>
    <xdr:sp>
      <xdr:nvSpPr>
        <xdr:cNvPr id="13" name="Line 13"/>
        <xdr:cNvSpPr>
          <a:spLocks/>
        </xdr:cNvSpPr>
      </xdr:nvSpPr>
      <xdr:spPr>
        <a:xfrm flipH="1" flipV="1">
          <a:off x="3419475" y="15944850"/>
          <a:ext cx="68865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96</xdr:row>
      <xdr:rowOff>161925</xdr:rowOff>
    </xdr:from>
    <xdr:to>
      <xdr:col>4</xdr:col>
      <xdr:colOff>66675</xdr:colOff>
      <xdr:row>100</xdr:row>
      <xdr:rowOff>133350</xdr:rowOff>
    </xdr:to>
    <xdr:sp>
      <xdr:nvSpPr>
        <xdr:cNvPr id="14" name="Line 14"/>
        <xdr:cNvSpPr>
          <a:spLocks/>
        </xdr:cNvSpPr>
      </xdr:nvSpPr>
      <xdr:spPr>
        <a:xfrm flipH="1">
          <a:off x="3429000" y="15944850"/>
          <a:ext cx="0" cy="6286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100</xdr:row>
      <xdr:rowOff>133350</xdr:rowOff>
    </xdr:from>
    <xdr:to>
      <xdr:col>4</xdr:col>
      <xdr:colOff>333375</xdr:colOff>
      <xdr:row>100</xdr:row>
      <xdr:rowOff>133350</xdr:rowOff>
    </xdr:to>
    <xdr:sp>
      <xdr:nvSpPr>
        <xdr:cNvPr id="15" name="Line 15"/>
        <xdr:cNvSpPr>
          <a:spLocks/>
        </xdr:cNvSpPr>
      </xdr:nvSpPr>
      <xdr:spPr>
        <a:xfrm>
          <a:off x="3438525" y="16573500"/>
          <a:ext cx="2571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123825</xdr:colOff>
      <xdr:row>94</xdr:row>
      <xdr:rowOff>66675</xdr:rowOff>
    </xdr:from>
    <xdr:to>
      <xdr:col>18</xdr:col>
      <xdr:colOff>123825</xdr:colOff>
      <xdr:row>96</xdr:row>
      <xdr:rowOff>9525</xdr:rowOff>
    </xdr:to>
    <xdr:sp>
      <xdr:nvSpPr>
        <xdr:cNvPr id="16" name="Line 16"/>
        <xdr:cNvSpPr>
          <a:spLocks/>
        </xdr:cNvSpPr>
      </xdr:nvSpPr>
      <xdr:spPr>
        <a:xfrm flipH="1" flipV="1">
          <a:off x="10963275" y="15516225"/>
          <a:ext cx="0" cy="2762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94</xdr:row>
      <xdr:rowOff>104775</xdr:rowOff>
    </xdr:from>
    <xdr:to>
      <xdr:col>18</xdr:col>
      <xdr:colOff>123825</xdr:colOff>
      <xdr:row>94</xdr:row>
      <xdr:rowOff>104775</xdr:rowOff>
    </xdr:to>
    <xdr:sp>
      <xdr:nvSpPr>
        <xdr:cNvPr id="17" name="Line 17"/>
        <xdr:cNvSpPr>
          <a:spLocks/>
        </xdr:cNvSpPr>
      </xdr:nvSpPr>
      <xdr:spPr>
        <a:xfrm flipH="1">
          <a:off x="2762250" y="15554325"/>
          <a:ext cx="82010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94</xdr:row>
      <xdr:rowOff>114300</xdr:rowOff>
    </xdr:from>
    <xdr:to>
      <xdr:col>3</xdr:col>
      <xdr:colOff>142875</xdr:colOff>
      <xdr:row>111</xdr:row>
      <xdr:rowOff>104775</xdr:rowOff>
    </xdr:to>
    <xdr:sp>
      <xdr:nvSpPr>
        <xdr:cNvPr id="18" name="Line 18"/>
        <xdr:cNvSpPr>
          <a:spLocks/>
        </xdr:cNvSpPr>
      </xdr:nvSpPr>
      <xdr:spPr>
        <a:xfrm>
          <a:off x="2762250" y="15563850"/>
          <a:ext cx="0" cy="28194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111</xdr:row>
      <xdr:rowOff>95250</xdr:rowOff>
    </xdr:from>
    <xdr:to>
      <xdr:col>4</xdr:col>
      <xdr:colOff>314325</xdr:colOff>
      <xdr:row>111</xdr:row>
      <xdr:rowOff>95250</xdr:rowOff>
    </xdr:to>
    <xdr:sp>
      <xdr:nvSpPr>
        <xdr:cNvPr id="19" name="Line 19"/>
        <xdr:cNvSpPr>
          <a:spLocks/>
        </xdr:cNvSpPr>
      </xdr:nvSpPr>
      <xdr:spPr>
        <a:xfrm>
          <a:off x="2781300" y="18373725"/>
          <a:ext cx="8953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342900</xdr:colOff>
      <xdr:row>130</xdr:row>
      <xdr:rowOff>123825</xdr:rowOff>
    </xdr:from>
    <xdr:to>
      <xdr:col>15</xdr:col>
      <xdr:colOff>266700</xdr:colOff>
      <xdr:row>134</xdr:row>
      <xdr:rowOff>85725</xdr:rowOff>
    </xdr:to>
    <xdr:sp>
      <xdr:nvSpPr>
        <xdr:cNvPr id="20" name="Text Box 20"/>
        <xdr:cNvSpPr txBox="1">
          <a:spLocks noChangeArrowheads="1"/>
        </xdr:cNvSpPr>
      </xdr:nvSpPr>
      <xdr:spPr>
        <a:xfrm>
          <a:off x="6962775" y="21669375"/>
          <a:ext cx="2476500" cy="609600"/>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Ver explicación planilla de liquidación de sueldos.</a:t>
          </a:r>
        </a:p>
      </xdr:txBody>
    </xdr:sp>
    <xdr:clientData/>
  </xdr:twoCellAnchor>
  <xdr:twoCellAnchor>
    <xdr:from>
      <xdr:col>10</xdr:col>
      <xdr:colOff>9525</xdr:colOff>
      <xdr:row>131</xdr:row>
      <xdr:rowOff>66675</xdr:rowOff>
    </xdr:from>
    <xdr:to>
      <xdr:col>10</xdr:col>
      <xdr:colOff>314325</xdr:colOff>
      <xdr:row>131</xdr:row>
      <xdr:rowOff>66675</xdr:rowOff>
    </xdr:to>
    <xdr:sp>
      <xdr:nvSpPr>
        <xdr:cNvPr id="21" name="Line 21"/>
        <xdr:cNvSpPr>
          <a:spLocks/>
        </xdr:cNvSpPr>
      </xdr:nvSpPr>
      <xdr:spPr>
        <a:xfrm flipV="1">
          <a:off x="6629400" y="21774150"/>
          <a:ext cx="3048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137</xdr:row>
      <xdr:rowOff>95250</xdr:rowOff>
    </xdr:from>
    <xdr:to>
      <xdr:col>9</xdr:col>
      <xdr:colOff>323850</xdr:colOff>
      <xdr:row>158</xdr:row>
      <xdr:rowOff>142875</xdr:rowOff>
    </xdr:to>
    <xdr:sp>
      <xdr:nvSpPr>
        <xdr:cNvPr id="22" name="Text Box 22"/>
        <xdr:cNvSpPr txBox="1">
          <a:spLocks noChangeArrowheads="1"/>
        </xdr:cNvSpPr>
      </xdr:nvSpPr>
      <xdr:spPr>
        <a:xfrm>
          <a:off x="295275" y="22802850"/>
          <a:ext cx="6067425" cy="362902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Estos porcentaqjes que se aplican para las contribuciones patronales tienen una reducción del 60% con respecto a los porcentajes básicos originales y son los que se aplican actualmente. Al ser informados a través del sistema S.I.A.P., provisto por la A.F.I.P., los cálculos se relizan en forma automática con el sólo ingreso del sueldo, por lo cual la tarea se simplifica.
</a:t>
          </a:r>
          <a:r>
            <a:rPr lang="en-US" cap="none" sz="1200" b="0" i="0" u="none" baseline="0">
              <a:solidFill>
                <a:srgbClr val="000000"/>
              </a:solidFill>
              <a:latin typeface="Times New Roman"/>
              <a:ea typeface="Times New Roman"/>
              <a:cs typeface="Times New Roman"/>
            </a:rPr>
            <a:t>En cuanto al Seguro de Accidentes debemos destacar que se compone de una suma fija por empleado y una parte variable que se establece porcentualmente sobre el sueldo, tanto la suma fija como la porcentual, varían entre las diferentes actividades, entre las diferentes A.R.T. (Administradoras del riesgo de Trabajo) y entre los niveles de riesgo que pueda tener cada empresa (la Ley de Riesgos de trabajo establece 4 niveles)
</a:t>
          </a:r>
          <a:r>
            <a:rPr lang="en-US" cap="none" sz="1200" b="0" i="0" u="none" baseline="0">
              <a:solidFill>
                <a:srgbClr val="000000"/>
              </a:solidFill>
              <a:latin typeface="Times New Roman"/>
              <a:ea typeface="Times New Roman"/>
              <a:cs typeface="Times New Roman"/>
            </a:rPr>
            <a:t>Las contribuciones correspondientes a jubilación (10,17%), Ley 19032 (1,50%), F.A.F. (4,44%), RENATRE. (1,50%), O.S. (5,4%), A.N.S.SAL. (0,60%) y el seguro se integran en un formulario cuyo procesamiento y pago se realiza en alguna entidad bancaria como un pago integral. La Ley 5110 que es de orden provincial tiene una boleta de pago distinta. 
</a:t>
          </a:r>
        </a:p>
      </xdr:txBody>
    </xdr:sp>
    <xdr:clientData/>
  </xdr:twoCellAnchor>
  <xdr:twoCellAnchor>
    <xdr:from>
      <xdr:col>14</xdr:col>
      <xdr:colOff>114300</xdr:colOff>
      <xdr:row>146</xdr:row>
      <xdr:rowOff>47625</xdr:rowOff>
    </xdr:from>
    <xdr:to>
      <xdr:col>14</xdr:col>
      <xdr:colOff>114300</xdr:colOff>
      <xdr:row>149</xdr:row>
      <xdr:rowOff>104775</xdr:rowOff>
    </xdr:to>
    <xdr:sp>
      <xdr:nvSpPr>
        <xdr:cNvPr id="23" name="Line 23"/>
        <xdr:cNvSpPr>
          <a:spLocks/>
        </xdr:cNvSpPr>
      </xdr:nvSpPr>
      <xdr:spPr>
        <a:xfrm>
          <a:off x="8886825" y="24393525"/>
          <a:ext cx="0" cy="5429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149</xdr:row>
      <xdr:rowOff>95250</xdr:rowOff>
    </xdr:from>
    <xdr:to>
      <xdr:col>14</xdr:col>
      <xdr:colOff>114300</xdr:colOff>
      <xdr:row>149</xdr:row>
      <xdr:rowOff>95250</xdr:rowOff>
    </xdr:to>
    <xdr:sp>
      <xdr:nvSpPr>
        <xdr:cNvPr id="24" name="Line 24"/>
        <xdr:cNvSpPr>
          <a:spLocks/>
        </xdr:cNvSpPr>
      </xdr:nvSpPr>
      <xdr:spPr>
        <a:xfrm flipH="1">
          <a:off x="6467475" y="24926925"/>
          <a:ext cx="24193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11</xdr:row>
      <xdr:rowOff>28575</xdr:rowOff>
    </xdr:from>
    <xdr:to>
      <xdr:col>18</xdr:col>
      <xdr:colOff>9525</xdr:colOff>
      <xdr:row>31</xdr:row>
      <xdr:rowOff>142875</xdr:rowOff>
    </xdr:to>
    <xdr:graphicFrame>
      <xdr:nvGraphicFramePr>
        <xdr:cNvPr id="1" name="Gráfico 1"/>
        <xdr:cNvGraphicFramePr/>
      </xdr:nvGraphicFramePr>
      <xdr:xfrm>
        <a:off x="10715625" y="1895475"/>
        <a:ext cx="6734175" cy="3371850"/>
      </xdr:xfrm>
      <a:graphic>
        <a:graphicData uri="http://schemas.openxmlformats.org/drawingml/2006/chart">
          <c:chart xmlns:c="http://schemas.openxmlformats.org/drawingml/2006/chart" r:id="rId1"/>
        </a:graphicData>
      </a:graphic>
    </xdr:graphicFrame>
    <xdr:clientData/>
  </xdr:twoCellAnchor>
  <xdr:twoCellAnchor>
    <xdr:from>
      <xdr:col>9</xdr:col>
      <xdr:colOff>514350</xdr:colOff>
      <xdr:row>33</xdr:row>
      <xdr:rowOff>0</xdr:rowOff>
    </xdr:from>
    <xdr:to>
      <xdr:col>17</xdr:col>
      <xdr:colOff>276225</xdr:colOff>
      <xdr:row>60</xdr:row>
      <xdr:rowOff>19050</xdr:rowOff>
    </xdr:to>
    <xdr:graphicFrame>
      <xdr:nvGraphicFramePr>
        <xdr:cNvPr id="2" name="Gráfico 2"/>
        <xdr:cNvGraphicFramePr/>
      </xdr:nvGraphicFramePr>
      <xdr:xfrm>
        <a:off x="10734675" y="5514975"/>
        <a:ext cx="6219825" cy="4410075"/>
      </xdr:xfrm>
      <a:graphic>
        <a:graphicData uri="http://schemas.openxmlformats.org/drawingml/2006/chart">
          <c:chart xmlns:c="http://schemas.openxmlformats.org/drawingml/2006/chart" r:id="rId2"/>
        </a:graphicData>
      </a:graphic>
    </xdr:graphicFrame>
    <xdr:clientData/>
  </xdr:twoCellAnchor>
  <xdr:twoCellAnchor>
    <xdr:from>
      <xdr:col>9</xdr:col>
      <xdr:colOff>552450</xdr:colOff>
      <xdr:row>63</xdr:row>
      <xdr:rowOff>95250</xdr:rowOff>
    </xdr:from>
    <xdr:to>
      <xdr:col>17</xdr:col>
      <xdr:colOff>409575</xdr:colOff>
      <xdr:row>93</xdr:row>
      <xdr:rowOff>133350</xdr:rowOff>
    </xdr:to>
    <xdr:graphicFrame>
      <xdr:nvGraphicFramePr>
        <xdr:cNvPr id="3" name="Gráfico 3"/>
        <xdr:cNvGraphicFramePr/>
      </xdr:nvGraphicFramePr>
      <xdr:xfrm>
        <a:off x="10772775" y="10553700"/>
        <a:ext cx="6315075" cy="49149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142875</xdr:rowOff>
    </xdr:from>
    <xdr:to>
      <xdr:col>4</xdr:col>
      <xdr:colOff>733425</xdr:colOff>
      <xdr:row>8</xdr:row>
      <xdr:rowOff>114300</xdr:rowOff>
    </xdr:to>
    <xdr:sp>
      <xdr:nvSpPr>
        <xdr:cNvPr id="1" name="Line 1"/>
        <xdr:cNvSpPr>
          <a:spLocks/>
        </xdr:cNvSpPr>
      </xdr:nvSpPr>
      <xdr:spPr>
        <a:xfrm>
          <a:off x="3657600" y="1457325"/>
          <a:ext cx="7143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7</xdr:row>
      <xdr:rowOff>47625</xdr:rowOff>
    </xdr:from>
    <xdr:to>
      <xdr:col>5</xdr:col>
      <xdr:colOff>9525</xdr:colOff>
      <xdr:row>8</xdr:row>
      <xdr:rowOff>123825</xdr:rowOff>
    </xdr:to>
    <xdr:sp>
      <xdr:nvSpPr>
        <xdr:cNvPr id="2" name="Line 2"/>
        <xdr:cNvSpPr>
          <a:spLocks/>
        </xdr:cNvSpPr>
      </xdr:nvSpPr>
      <xdr:spPr>
        <a:xfrm flipH="1">
          <a:off x="4257675" y="1362075"/>
          <a:ext cx="31432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12</xdr:row>
      <xdr:rowOff>152400</xdr:rowOff>
    </xdr:from>
    <xdr:to>
      <xdr:col>5</xdr:col>
      <xdr:colOff>390525</xdr:colOff>
      <xdr:row>22</xdr:row>
      <xdr:rowOff>152400</xdr:rowOff>
    </xdr:to>
    <xdr:sp>
      <xdr:nvSpPr>
        <xdr:cNvPr id="3" name="Text Box 3"/>
        <xdr:cNvSpPr txBox="1">
          <a:spLocks noChangeArrowheads="1"/>
        </xdr:cNvSpPr>
      </xdr:nvSpPr>
      <xdr:spPr>
        <a:xfrm>
          <a:off x="2200275" y="2276475"/>
          <a:ext cx="2752725" cy="1619250"/>
        </a:xfrm>
        <a:prstGeom prst="rect">
          <a:avLst/>
        </a:prstGeom>
        <a:solidFill>
          <a:srgbClr val="CCFFCC"/>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Para obtener el</a:t>
          </a:r>
          <a:r>
            <a:rPr lang="en-US" cap="none" sz="1000" b="1" i="0" u="none" baseline="0">
              <a:solidFill>
                <a:srgbClr val="000000"/>
              </a:solidFill>
              <a:latin typeface="Arial"/>
              <a:ea typeface="Arial"/>
              <a:cs typeface="Arial"/>
            </a:rPr>
            <a:t> ingreso bruto</a:t>
          </a:r>
          <a:r>
            <a:rPr lang="en-US" cap="none" sz="1000" b="0" i="0" u="none" baseline="0">
              <a:solidFill>
                <a:srgbClr val="000000"/>
              </a:solidFill>
              <a:latin typeface="Arial"/>
              <a:ea typeface="Arial"/>
              <a:cs typeface="Arial"/>
            </a:rPr>
            <a:t> según los diferentes niveles de rendimiento haga esta operación muy sencilla: multiplique el </a:t>
          </a:r>
          <a:r>
            <a:rPr lang="en-US" cap="none" sz="1000" b="1" i="0" u="none" baseline="0">
              <a:solidFill>
                <a:srgbClr val="000000"/>
              </a:solidFill>
              <a:latin typeface="Arial"/>
              <a:ea typeface="Arial"/>
              <a:cs typeface="Arial"/>
            </a:rPr>
            <a:t>precio de pizarra</a:t>
          </a:r>
          <a:r>
            <a:rPr lang="en-US" cap="none" sz="1000" b="0" i="0" u="none" baseline="0">
              <a:solidFill>
                <a:srgbClr val="000000"/>
              </a:solidFill>
              <a:latin typeface="Arial"/>
              <a:ea typeface="Arial"/>
              <a:cs typeface="Arial"/>
            </a:rPr>
            <a:t> por los </a:t>
          </a:r>
          <a:r>
            <a:rPr lang="en-US" cap="none" sz="1000" b="1" i="0" u="none" baseline="0">
              <a:solidFill>
                <a:srgbClr val="000000"/>
              </a:solidFill>
              <a:latin typeface="Arial"/>
              <a:ea typeface="Arial"/>
              <a:cs typeface="Arial"/>
            </a:rPr>
            <a:t>kilogramos en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cada nivel</a:t>
          </a:r>
          <a:r>
            <a:rPr lang="en-US" cap="none" sz="1000" b="0" i="0" u="none" baseline="0">
              <a:solidFill>
                <a:srgbClr val="000000"/>
              </a:solidFill>
              <a:latin typeface="Arial"/>
              <a:ea typeface="Arial"/>
              <a:cs typeface="Arial"/>
            </a:rPr>
            <a:t> y luego divida por mil para pasar esos kilogramos a toneladas. Tal como lo muestra el ejemplo.
</a:t>
          </a:r>
          <a:r>
            <a:rPr lang="en-US" cap="none" sz="1000" b="1" i="0" u="none" baseline="0">
              <a:solidFill>
                <a:srgbClr val="000000"/>
              </a:solidFill>
              <a:latin typeface="Arial"/>
              <a:ea typeface="Arial"/>
              <a:cs typeface="Arial"/>
            </a:rPr>
            <a:t>Ingreso bruto = Precio de pizarra en toneladas x rendimiento en toneladas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1762125</xdr:colOff>
      <xdr:row>47</xdr:row>
      <xdr:rowOff>0</xdr:rowOff>
    </xdr:from>
    <xdr:to>
      <xdr:col>7</xdr:col>
      <xdr:colOff>180975</xdr:colOff>
      <xdr:row>61</xdr:row>
      <xdr:rowOff>76200</xdr:rowOff>
    </xdr:to>
    <xdr:sp>
      <xdr:nvSpPr>
        <xdr:cNvPr id="4" name="Text Box 4"/>
        <xdr:cNvSpPr txBox="1">
          <a:spLocks noChangeArrowheads="1"/>
        </xdr:cNvSpPr>
      </xdr:nvSpPr>
      <xdr:spPr>
        <a:xfrm>
          <a:off x="2114550" y="7820025"/>
          <a:ext cx="4114800" cy="2343150"/>
        </a:xfrm>
        <a:prstGeom prst="rect">
          <a:avLst/>
        </a:prstGeom>
        <a:solidFill>
          <a:srgbClr val="CCFFCC"/>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Para hallar el valor por hectárea de cada una de las labores debemos operar así:
</a:t>
          </a:r>
          <a:r>
            <a:rPr lang="en-US" cap="none" sz="1000" b="0" i="0" u="none" baseline="0">
              <a:solidFill>
                <a:srgbClr val="000000"/>
              </a:solidFill>
              <a:latin typeface="Arial"/>
              <a:ea typeface="Arial"/>
              <a:cs typeface="Arial"/>
            </a:rPr>
            <a:t>* Colocar el valor UTA correspondiente de acuerdo a las instrucciones ya desarrolladas para el caso (en el ejemplo $18)
</a:t>
          </a:r>
          <a:r>
            <a:rPr lang="en-US" cap="none" sz="1000" b="0" i="0" u="none" baseline="0">
              <a:solidFill>
                <a:srgbClr val="000000"/>
              </a:solidFill>
              <a:latin typeface="Arial"/>
              <a:ea typeface="Arial"/>
              <a:cs typeface="Arial"/>
            </a:rPr>
            <a:t>* El equivalente UTA para dicha tarea se puede encontrar en la tabla de equivalencia que pueden encontrar en este trabajo (0,95 en el ejemplo)
</a:t>
          </a:r>
          <a:r>
            <a:rPr lang="en-US" cap="none" sz="1000" b="0" i="0" u="none" baseline="0">
              <a:solidFill>
                <a:srgbClr val="000000"/>
              </a:solidFill>
              <a:latin typeface="Arial"/>
              <a:ea typeface="Arial"/>
              <a:cs typeface="Arial"/>
            </a:rPr>
            <a:t>* Al multiplicar el valor UTA por el equivalente UTA de esa labor, obtenemos el valor a aplicar por hectárea de esa labor (18 * 0,95 = 17,1)
</a:t>
          </a:r>
          <a:r>
            <a:rPr lang="en-US" cap="none" sz="1000" b="0" i="0" u="none" baseline="0">
              <a:solidFill>
                <a:srgbClr val="000000"/>
              </a:solidFill>
              <a:latin typeface="Arial"/>
              <a:ea typeface="Arial"/>
              <a:cs typeface="Arial"/>
            </a:rPr>
            <a:t>* Finalmente el valor resultante por hectárea es el resultado de multiplicar el valor obtenido en el paso anterior por la cantidad de veces que se realiza dicha labor en el cultivo. (17,1 * 1 = 17,1)
</a:t>
          </a:r>
          <a:r>
            <a:rPr lang="en-US" cap="none" sz="1000" b="0" i="0" u="none" baseline="0">
              <a:solidFill>
                <a:srgbClr val="000000"/>
              </a:solidFill>
              <a:latin typeface="Arial"/>
              <a:ea typeface="Arial"/>
              <a:cs typeface="Arial"/>
            </a:rPr>
            <a:t>Como vemos este último valor es independiente de los niveles de rendimiento
</a:t>
          </a:r>
          <a:r>
            <a:rPr lang="en-US" cap="none" sz="1000" b="0" i="0" u="none" baseline="0">
              <a:solidFill>
                <a:srgbClr val="000000"/>
              </a:solidFill>
              <a:latin typeface="Arial"/>
              <a:ea typeface="Arial"/>
              <a:cs typeface="Arial"/>
            </a:rPr>
            <a:t> Esta operación se debe hacer con cada una de las labores.
</a:t>
          </a:r>
        </a:p>
      </xdr:txBody>
    </xdr:sp>
    <xdr:clientData/>
  </xdr:twoCellAnchor>
  <xdr:twoCellAnchor>
    <xdr:from>
      <xdr:col>2</xdr:col>
      <xdr:colOff>676275</xdr:colOff>
      <xdr:row>35</xdr:row>
      <xdr:rowOff>0</xdr:rowOff>
    </xdr:from>
    <xdr:to>
      <xdr:col>3</xdr:col>
      <xdr:colOff>76200</xdr:colOff>
      <xdr:row>36</xdr:row>
      <xdr:rowOff>38100</xdr:rowOff>
    </xdr:to>
    <xdr:sp>
      <xdr:nvSpPr>
        <xdr:cNvPr id="5" name="Line 5"/>
        <xdr:cNvSpPr>
          <a:spLocks/>
        </xdr:cNvSpPr>
      </xdr:nvSpPr>
      <xdr:spPr>
        <a:xfrm>
          <a:off x="2790825" y="5867400"/>
          <a:ext cx="161925" cy="209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36</xdr:row>
      <xdr:rowOff>85725</xdr:rowOff>
    </xdr:from>
    <xdr:to>
      <xdr:col>4</xdr:col>
      <xdr:colOff>95250</xdr:colOff>
      <xdr:row>36</xdr:row>
      <xdr:rowOff>85725</xdr:rowOff>
    </xdr:to>
    <xdr:sp>
      <xdr:nvSpPr>
        <xdr:cNvPr id="6" name="Line 6"/>
        <xdr:cNvSpPr>
          <a:spLocks/>
        </xdr:cNvSpPr>
      </xdr:nvSpPr>
      <xdr:spPr>
        <a:xfrm>
          <a:off x="3190875" y="6124575"/>
          <a:ext cx="5429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36</xdr:row>
      <xdr:rowOff>142875</xdr:rowOff>
    </xdr:from>
    <xdr:to>
      <xdr:col>2</xdr:col>
      <xdr:colOff>466725</xdr:colOff>
      <xdr:row>37</xdr:row>
      <xdr:rowOff>114300</xdr:rowOff>
    </xdr:to>
    <xdr:sp>
      <xdr:nvSpPr>
        <xdr:cNvPr id="7" name="Line 7"/>
        <xdr:cNvSpPr>
          <a:spLocks/>
        </xdr:cNvSpPr>
      </xdr:nvSpPr>
      <xdr:spPr>
        <a:xfrm>
          <a:off x="2581275" y="6181725"/>
          <a:ext cx="0" cy="1333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37</xdr:row>
      <xdr:rowOff>104775</xdr:rowOff>
    </xdr:from>
    <xdr:to>
      <xdr:col>4</xdr:col>
      <xdr:colOff>428625</xdr:colOff>
      <xdr:row>37</xdr:row>
      <xdr:rowOff>104775</xdr:rowOff>
    </xdr:to>
    <xdr:sp>
      <xdr:nvSpPr>
        <xdr:cNvPr id="8" name="Line 8"/>
        <xdr:cNvSpPr>
          <a:spLocks/>
        </xdr:cNvSpPr>
      </xdr:nvSpPr>
      <xdr:spPr>
        <a:xfrm>
          <a:off x="2600325" y="6305550"/>
          <a:ext cx="146685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36</xdr:row>
      <xdr:rowOff>114300</xdr:rowOff>
    </xdr:from>
    <xdr:to>
      <xdr:col>4</xdr:col>
      <xdr:colOff>514350</xdr:colOff>
      <xdr:row>37</xdr:row>
      <xdr:rowOff>123825</xdr:rowOff>
    </xdr:to>
    <xdr:sp>
      <xdr:nvSpPr>
        <xdr:cNvPr id="9" name="Line 9"/>
        <xdr:cNvSpPr>
          <a:spLocks/>
        </xdr:cNvSpPr>
      </xdr:nvSpPr>
      <xdr:spPr>
        <a:xfrm flipV="1">
          <a:off x="4029075" y="6153150"/>
          <a:ext cx="123825" cy="1714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36</xdr:row>
      <xdr:rowOff>114300</xdr:rowOff>
    </xdr:from>
    <xdr:to>
      <xdr:col>5</xdr:col>
      <xdr:colOff>390525</xdr:colOff>
      <xdr:row>37</xdr:row>
      <xdr:rowOff>95250</xdr:rowOff>
    </xdr:to>
    <xdr:sp>
      <xdr:nvSpPr>
        <xdr:cNvPr id="10" name="Line 10"/>
        <xdr:cNvSpPr>
          <a:spLocks/>
        </xdr:cNvSpPr>
      </xdr:nvSpPr>
      <xdr:spPr>
        <a:xfrm flipV="1">
          <a:off x="4181475" y="6153150"/>
          <a:ext cx="771525" cy="1428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69</xdr:row>
      <xdr:rowOff>152400</xdr:rowOff>
    </xdr:from>
    <xdr:to>
      <xdr:col>2</xdr:col>
      <xdr:colOff>381000</xdr:colOff>
      <xdr:row>71</xdr:row>
      <xdr:rowOff>114300</xdr:rowOff>
    </xdr:to>
    <xdr:sp>
      <xdr:nvSpPr>
        <xdr:cNvPr id="11" name="Line 11"/>
        <xdr:cNvSpPr>
          <a:spLocks/>
        </xdr:cNvSpPr>
      </xdr:nvSpPr>
      <xdr:spPr>
        <a:xfrm>
          <a:off x="2495550" y="11553825"/>
          <a:ext cx="0" cy="2857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71</xdr:row>
      <xdr:rowOff>104775</xdr:rowOff>
    </xdr:from>
    <xdr:to>
      <xdr:col>4</xdr:col>
      <xdr:colOff>485775</xdr:colOff>
      <xdr:row>71</xdr:row>
      <xdr:rowOff>104775</xdr:rowOff>
    </xdr:to>
    <xdr:sp>
      <xdr:nvSpPr>
        <xdr:cNvPr id="12" name="Line 12"/>
        <xdr:cNvSpPr>
          <a:spLocks/>
        </xdr:cNvSpPr>
      </xdr:nvSpPr>
      <xdr:spPr>
        <a:xfrm>
          <a:off x="2514600" y="11830050"/>
          <a:ext cx="160972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69</xdr:row>
      <xdr:rowOff>152400</xdr:rowOff>
    </xdr:from>
    <xdr:to>
      <xdr:col>4</xdr:col>
      <xdr:colOff>638175</xdr:colOff>
      <xdr:row>71</xdr:row>
      <xdr:rowOff>95250</xdr:rowOff>
    </xdr:to>
    <xdr:sp>
      <xdr:nvSpPr>
        <xdr:cNvPr id="13" name="Line 13"/>
        <xdr:cNvSpPr>
          <a:spLocks/>
        </xdr:cNvSpPr>
      </xdr:nvSpPr>
      <xdr:spPr>
        <a:xfrm flipV="1">
          <a:off x="4095750" y="11553825"/>
          <a:ext cx="180975" cy="2667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69</xdr:row>
      <xdr:rowOff>142875</xdr:rowOff>
    </xdr:from>
    <xdr:to>
      <xdr:col>5</xdr:col>
      <xdr:colOff>381000</xdr:colOff>
      <xdr:row>70</xdr:row>
      <xdr:rowOff>76200</xdr:rowOff>
    </xdr:to>
    <xdr:sp>
      <xdr:nvSpPr>
        <xdr:cNvPr id="14" name="Line 14"/>
        <xdr:cNvSpPr>
          <a:spLocks/>
        </xdr:cNvSpPr>
      </xdr:nvSpPr>
      <xdr:spPr>
        <a:xfrm flipV="1">
          <a:off x="4276725" y="11544300"/>
          <a:ext cx="666750" cy="95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78</xdr:row>
      <xdr:rowOff>104775</xdr:rowOff>
    </xdr:from>
    <xdr:to>
      <xdr:col>5</xdr:col>
      <xdr:colOff>390525</xdr:colOff>
      <xdr:row>93</xdr:row>
      <xdr:rowOff>28575</xdr:rowOff>
    </xdr:to>
    <xdr:sp>
      <xdr:nvSpPr>
        <xdr:cNvPr id="15" name="Text Box 15"/>
        <xdr:cNvSpPr txBox="1">
          <a:spLocks noChangeArrowheads="1"/>
        </xdr:cNvSpPr>
      </xdr:nvSpPr>
      <xdr:spPr>
        <a:xfrm>
          <a:off x="2124075" y="12982575"/>
          <a:ext cx="2828925" cy="23526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El cálculo realizado para los insumos requiere de un adecuado conocimiento de los litros y kilogramos de cada uno de los insumos que se van a emplear y de una determinación previa de las dosificaciones; los precios se consiguen fácilmente en el mercado e incluso en las publicaciones especializadas en temas del agro. al multiplicar la dosis (Cantidad) por su valor por kilogramos o litros, obtenemos el costo de cada insumo por hectárea.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Cantidad x $/kg-lt. = $/ha
</a:t>
          </a:r>
        </a:p>
      </xdr:txBody>
    </xdr:sp>
    <xdr:clientData/>
  </xdr:twoCellAnchor>
  <xdr:twoCellAnchor>
    <xdr:from>
      <xdr:col>1</xdr:col>
      <xdr:colOff>247650</xdr:colOff>
      <xdr:row>112</xdr:row>
      <xdr:rowOff>76200</xdr:rowOff>
    </xdr:from>
    <xdr:to>
      <xdr:col>2</xdr:col>
      <xdr:colOff>438150</xdr:colOff>
      <xdr:row>132</xdr:row>
      <xdr:rowOff>95250</xdr:rowOff>
    </xdr:to>
    <xdr:sp>
      <xdr:nvSpPr>
        <xdr:cNvPr id="16" name="Text Box 16"/>
        <xdr:cNvSpPr txBox="1">
          <a:spLocks noChangeArrowheads="1"/>
        </xdr:cNvSpPr>
      </xdr:nvSpPr>
      <xdr:spPr>
        <a:xfrm>
          <a:off x="600075" y="18468975"/>
          <a:ext cx="1952625" cy="3257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El valor por hectárea de la cosecha</a:t>
          </a:r>
          <a:r>
            <a:rPr lang="en-US" cap="none" sz="1000" b="0" i="0" u="none" baseline="0">
              <a:solidFill>
                <a:srgbClr val="000000"/>
              </a:solidFill>
              <a:latin typeface="Arial"/>
              <a:ea typeface="Arial"/>
              <a:cs typeface="Arial"/>
            </a:rPr>
            <a:t> puede ser determinado de dos maneras distintas según lo acuerden el contratista con el productor; o se establece un precio fijo por hectárea, como es el caso del algodón o se fija un pòrcentaje del rendimiento, como en el caso del ejemplo. En este caso en particular el trillador se lleva el 10% de la cosecha, por lo cual el cálculo de ejemplo se determina del siguiente modo:
</a:t>
          </a:r>
          <a:r>
            <a:rPr lang="en-US" cap="none" sz="1000" b="0" i="0" u="none" baseline="0">
              <a:solidFill>
                <a:srgbClr val="000000"/>
              </a:solidFill>
              <a:latin typeface="Arial"/>
              <a:ea typeface="Arial"/>
              <a:cs typeface="Arial"/>
            </a:rPr>
            <a:t>a) Obtenemos el 10% del </a:t>
          </a:r>
          <a:r>
            <a:rPr lang="en-US" cap="none" sz="1000" b="1" i="0" u="none" baseline="0">
              <a:solidFill>
                <a:srgbClr val="000000"/>
              </a:solidFill>
              <a:latin typeface="Arial"/>
              <a:ea typeface="Arial"/>
              <a:cs typeface="Arial"/>
            </a:rPr>
            <a:t>valor por tonelada.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150 x 10% = 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Al valor antes encontrado lo multiplicamos por el rendimiento por hectárea y obtenemos el </a:t>
          </a:r>
          <a:r>
            <a:rPr lang="en-US" cap="none" sz="1000" b="1" i="0" u="none" baseline="0">
              <a:solidFill>
                <a:srgbClr val="000000"/>
              </a:solidFill>
              <a:latin typeface="Arial"/>
              <a:ea typeface="Arial"/>
              <a:cs typeface="Arial"/>
            </a:rPr>
            <a:t>costo de cosecha por hectárea,</a:t>
          </a:r>
          <a:r>
            <a:rPr lang="en-US" cap="none" sz="1000" b="0" i="0" u="none" baseline="0">
              <a:solidFill>
                <a:srgbClr val="000000"/>
              </a:solidFill>
              <a:latin typeface="Arial"/>
              <a:ea typeface="Arial"/>
              <a:cs typeface="Arial"/>
            </a:rPr>
            <a:t> si el rendimiento está expresado en kilogramos, como en este caso; dividimos por mil.
</a:t>
          </a:r>
          <a:r>
            <a:rPr lang="en-US" cap="none" sz="1000" b="0" i="0" u="none" baseline="0">
              <a:solidFill>
                <a:srgbClr val="000000"/>
              </a:solidFill>
              <a:latin typeface="Arial"/>
              <a:ea typeface="Arial"/>
              <a:cs typeface="Arial"/>
            </a:rPr>
            <a:t>         15 x 1800/1000 = 27
</a:t>
          </a:r>
          <a:r>
            <a:rPr lang="en-US" cap="none" sz="1000" b="0" i="0" u="none" baseline="0">
              <a:solidFill>
                <a:srgbClr val="000000"/>
              </a:solidFill>
              <a:latin typeface="Arial"/>
              <a:ea typeface="Arial"/>
              <a:cs typeface="Arial"/>
            </a:rPr>
            <a:t>
</a:t>
          </a:r>
        </a:p>
      </xdr:txBody>
    </xdr:sp>
    <xdr:clientData/>
  </xdr:twoCellAnchor>
  <xdr:twoCellAnchor>
    <xdr:from>
      <xdr:col>2</xdr:col>
      <xdr:colOff>514350</xdr:colOff>
      <xdr:row>112</xdr:row>
      <xdr:rowOff>104775</xdr:rowOff>
    </xdr:from>
    <xdr:to>
      <xdr:col>6</xdr:col>
      <xdr:colOff>171450</xdr:colOff>
      <xdr:row>132</xdr:row>
      <xdr:rowOff>114300</xdr:rowOff>
    </xdr:to>
    <xdr:sp>
      <xdr:nvSpPr>
        <xdr:cNvPr id="17" name="Text Box 17"/>
        <xdr:cNvSpPr txBox="1">
          <a:spLocks noChangeArrowheads="1"/>
        </xdr:cNvSpPr>
      </xdr:nvSpPr>
      <xdr:spPr>
        <a:xfrm>
          <a:off x="2628900" y="18497550"/>
          <a:ext cx="2828925" cy="32480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El valor por hectárea del flete </a:t>
          </a:r>
          <a:r>
            <a:rPr lang="en-US" cap="none" sz="1000" b="0" i="0" u="none" baseline="0">
              <a:solidFill>
                <a:srgbClr val="000000"/>
              </a:solidFill>
              <a:latin typeface="Arial"/>
              <a:ea typeface="Arial"/>
              <a:cs typeface="Arial"/>
            </a:rPr>
            <a:t>que hemos seguido en el ejemplo resulta de un cálculo muy simple; el precio por tonelada transportada surge de un acuerdo entre el productor y el transportista por lo cual es un </a:t>
          </a:r>
          <a:r>
            <a:rPr lang="en-US" cap="none" sz="1000" b="1" i="0" u="none" baseline="0">
              <a:solidFill>
                <a:srgbClr val="000000"/>
              </a:solidFill>
              <a:latin typeface="Arial"/>
              <a:ea typeface="Arial"/>
              <a:cs typeface="Arial"/>
            </a:rPr>
            <a:t>precio fijo por tonelada</a:t>
          </a:r>
          <a:r>
            <a:rPr lang="en-US" cap="none" sz="1000" b="0" i="0" u="none" baseline="0">
              <a:solidFill>
                <a:srgbClr val="000000"/>
              </a:solidFill>
              <a:latin typeface="Arial"/>
              <a:ea typeface="Arial"/>
              <a:cs typeface="Arial"/>
            </a:rPr>
            <a:t>. Al multiplicar este precio fijo por el </a:t>
          </a:r>
          <a:r>
            <a:rPr lang="en-US" cap="none" sz="1000" b="1" i="0" u="none" baseline="0">
              <a:solidFill>
                <a:srgbClr val="000000"/>
              </a:solidFill>
              <a:latin typeface="Arial"/>
              <a:ea typeface="Arial"/>
              <a:cs typeface="Arial"/>
            </a:rPr>
            <a:t>rendimiento por hectárea y dividir por mil</a:t>
          </a:r>
          <a:r>
            <a:rPr lang="en-US" cap="none" sz="1000" b="0" i="0" u="none" baseline="0">
              <a:solidFill>
                <a:srgbClr val="000000"/>
              </a:solidFill>
              <a:latin typeface="Arial"/>
              <a:ea typeface="Arial"/>
              <a:cs typeface="Arial"/>
            </a:rPr>
            <a:t> (en este caso que el rendimiento está expresado en kilogramos), se obtiene el costo del flete por hectárea.
</a:t>
          </a:r>
          <a:r>
            <a:rPr lang="en-US" cap="none" sz="1000" b="0" i="0" u="none" baseline="0">
              <a:solidFill>
                <a:srgbClr val="000000"/>
              </a:solidFill>
              <a:latin typeface="Arial"/>
              <a:ea typeface="Arial"/>
              <a:cs typeface="Arial"/>
            </a:rPr>
            <a:t>      18 x 1800/1000 = 32,40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Sabemos que existen otras modalidades de determinar el valor del flete pero que no se aplican en nuestra región y que surgen de una tarifa por kilómetros en la que no existe una negociación entre las partes, sino que el valor del flete ya viene establecido.</a:t>
          </a:r>
        </a:p>
      </xdr:txBody>
    </xdr:sp>
    <xdr:clientData/>
  </xdr:twoCellAnchor>
  <xdr:twoCellAnchor>
    <xdr:from>
      <xdr:col>6</xdr:col>
      <xdr:colOff>352425</xdr:colOff>
      <xdr:row>113</xdr:row>
      <xdr:rowOff>123825</xdr:rowOff>
    </xdr:from>
    <xdr:to>
      <xdr:col>10</xdr:col>
      <xdr:colOff>171450</xdr:colOff>
      <xdr:row>123</xdr:row>
      <xdr:rowOff>19050</xdr:rowOff>
    </xdr:to>
    <xdr:sp>
      <xdr:nvSpPr>
        <xdr:cNvPr id="18" name="Text Box 18"/>
        <xdr:cNvSpPr txBox="1">
          <a:spLocks noChangeArrowheads="1"/>
        </xdr:cNvSpPr>
      </xdr:nvSpPr>
      <xdr:spPr>
        <a:xfrm>
          <a:off x="5638800" y="18678525"/>
          <a:ext cx="2867025" cy="15144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Para el cálculo de </a:t>
          </a:r>
          <a:r>
            <a:rPr lang="en-US" cap="none" sz="1000" b="1" i="0" u="none" baseline="0">
              <a:solidFill>
                <a:srgbClr val="000000"/>
              </a:solidFill>
              <a:latin typeface="Arial"/>
              <a:ea typeface="Arial"/>
              <a:cs typeface="Arial"/>
            </a:rPr>
            <a:t>ingresos brutos o Convenio multilateral</a:t>
          </a:r>
          <a:r>
            <a:rPr lang="en-US" cap="none" sz="1000" b="0" i="0" u="none" baseline="0">
              <a:solidFill>
                <a:srgbClr val="000000"/>
              </a:solidFill>
              <a:latin typeface="Arial"/>
              <a:ea typeface="Arial"/>
              <a:cs typeface="Arial"/>
            </a:rPr>
            <a:t>, según el caso y para el de </a:t>
          </a:r>
          <a:r>
            <a:rPr lang="en-US" cap="none" sz="1000" b="1" i="0" u="none" baseline="0">
              <a:solidFill>
                <a:srgbClr val="000000"/>
              </a:solidFill>
              <a:latin typeface="Arial"/>
              <a:ea typeface="Arial"/>
              <a:cs typeface="Arial"/>
            </a:rPr>
            <a:t>Impuesto de sellos</a:t>
          </a:r>
          <a:r>
            <a:rPr lang="en-US" cap="none" sz="1000" b="0" i="0" u="none" baseline="0">
              <a:solidFill>
                <a:srgbClr val="000000"/>
              </a:solidFill>
              <a:latin typeface="Arial"/>
              <a:ea typeface="Arial"/>
              <a:cs typeface="Arial"/>
            </a:rPr>
            <a:t>, el cálculo sigue las mismas pistas que el de cosecha a porcentaje, lo único que varían son precisamente los porcentajes.
</a:t>
          </a:r>
        </a:p>
      </xdr:txBody>
    </xdr:sp>
    <xdr:clientData/>
  </xdr:twoCellAnchor>
  <xdr:twoCellAnchor>
    <xdr:from>
      <xdr:col>1</xdr:col>
      <xdr:colOff>114300</xdr:colOff>
      <xdr:row>140</xdr:row>
      <xdr:rowOff>19050</xdr:rowOff>
    </xdr:from>
    <xdr:to>
      <xdr:col>10</xdr:col>
      <xdr:colOff>295275</xdr:colOff>
      <xdr:row>148</xdr:row>
      <xdr:rowOff>76200</xdr:rowOff>
    </xdr:to>
    <xdr:sp>
      <xdr:nvSpPr>
        <xdr:cNvPr id="19" name="Text Box 19"/>
        <xdr:cNvSpPr txBox="1">
          <a:spLocks noChangeArrowheads="1"/>
        </xdr:cNvSpPr>
      </xdr:nvSpPr>
      <xdr:spPr>
        <a:xfrm>
          <a:off x="466725" y="22993350"/>
          <a:ext cx="8162925" cy="1352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La suma de los </a:t>
          </a:r>
          <a:r>
            <a:rPr lang="en-US" cap="none" sz="1000" b="1" i="0" u="none" baseline="0">
              <a:solidFill>
                <a:srgbClr val="000000"/>
              </a:solidFill>
              <a:latin typeface="Arial"/>
              <a:ea typeface="Arial"/>
              <a:cs typeface="Arial"/>
            </a:rPr>
            <a:t>Gastos de laboreos</a:t>
          </a:r>
          <a:r>
            <a:rPr lang="en-US" cap="none" sz="1000" b="0" i="0" u="none" baseline="0">
              <a:solidFill>
                <a:srgbClr val="000000"/>
              </a:solidFill>
              <a:latin typeface="Arial"/>
              <a:ea typeface="Arial"/>
              <a:cs typeface="Arial"/>
            </a:rPr>
            <a:t> más los </a:t>
          </a:r>
          <a:r>
            <a:rPr lang="en-US" cap="none" sz="1000" b="1" i="0" u="none" baseline="0">
              <a:solidFill>
                <a:srgbClr val="000000"/>
              </a:solidFill>
              <a:latin typeface="Arial"/>
              <a:ea typeface="Arial"/>
              <a:cs typeface="Arial"/>
            </a:rPr>
            <a:t>Gastos de Implantación </a:t>
          </a:r>
          <a:r>
            <a:rPr lang="en-US" cap="none" sz="1000" b="0" i="0" u="none" baseline="0">
              <a:solidFill>
                <a:srgbClr val="000000"/>
              </a:solidFill>
              <a:latin typeface="Arial"/>
              <a:ea typeface="Arial"/>
              <a:cs typeface="Arial"/>
            </a:rPr>
            <a:t>más los </a:t>
          </a:r>
          <a:r>
            <a:rPr lang="en-US" cap="none" sz="1000" b="1" i="0" u="none" baseline="0">
              <a:solidFill>
                <a:srgbClr val="000000"/>
              </a:solidFill>
              <a:latin typeface="Arial"/>
              <a:ea typeface="Arial"/>
              <a:cs typeface="Arial"/>
            </a:rPr>
            <a:t>Gastos de Cosecha y Comercialización</a:t>
          </a:r>
          <a:r>
            <a:rPr lang="en-US" cap="none" sz="1000" b="0" i="0" u="none" baseline="0">
              <a:solidFill>
                <a:srgbClr val="000000"/>
              </a:solidFill>
              <a:latin typeface="Arial"/>
              <a:ea typeface="Arial"/>
              <a:cs typeface="Arial"/>
            </a:rPr>
            <a:t> nos muestra el </a:t>
          </a:r>
          <a:r>
            <a:rPr lang="en-US" cap="none" sz="1000" b="1" i="0" u="none" baseline="0">
              <a:solidFill>
                <a:srgbClr val="000000"/>
              </a:solidFill>
              <a:latin typeface="Arial"/>
              <a:ea typeface="Arial"/>
              <a:cs typeface="Arial"/>
            </a:rPr>
            <a:t>total de Gastos Directos</a:t>
          </a:r>
          <a:r>
            <a:rPr lang="en-US" cap="none" sz="1000" b="0" i="0" u="none" baseline="0">
              <a:solidFill>
                <a:srgbClr val="000000"/>
              </a:solidFill>
              <a:latin typeface="Arial"/>
              <a:ea typeface="Arial"/>
              <a:cs typeface="Arial"/>
            </a:rPr>
            <a:t> que debemos considerar, notamos aquí que los Gastos de Laboreos e Implantación se convierten en fijos por hectárea y son independientes del nivel de rendimiento, en cambio los Gastos de Cosecha y Comercialización están directamente relacionados con los niveles de rendimiento. En nuestra planilla debemos observar el ejemplo para darnos cuenta, mientras en los Gastos de Laboreos e Implantación los gastos por hectárea aparecen aunque no pongamos rendimiento alguno, los de Cosecha y comercialización sólo pueden observarse en la columna en la que hemos colocado un rendimiento cierto.
</a:t>
          </a:r>
          <a:r>
            <a:rPr lang="en-US" cap="none" sz="1000" b="0" i="0" u="none" baseline="0">
              <a:solidFill>
                <a:srgbClr val="000000"/>
              </a:solidFill>
              <a:latin typeface="Arial"/>
              <a:ea typeface="Arial"/>
              <a:cs typeface="Arial"/>
            </a:rPr>
            <a:t>                        17,10 + 32,50 + 62,43 = 94,93
</a:t>
          </a:r>
        </a:p>
      </xdr:txBody>
    </xdr:sp>
    <xdr:clientData/>
  </xdr:twoCellAnchor>
  <xdr:twoCellAnchor>
    <xdr:from>
      <xdr:col>0</xdr:col>
      <xdr:colOff>66675</xdr:colOff>
      <xdr:row>156</xdr:row>
      <xdr:rowOff>123825</xdr:rowOff>
    </xdr:from>
    <xdr:to>
      <xdr:col>3</xdr:col>
      <xdr:colOff>152400</xdr:colOff>
      <xdr:row>169</xdr:row>
      <xdr:rowOff>133350</xdr:rowOff>
    </xdr:to>
    <xdr:sp>
      <xdr:nvSpPr>
        <xdr:cNvPr id="20" name="Text Box 20"/>
        <xdr:cNvSpPr txBox="1">
          <a:spLocks noChangeArrowheads="1"/>
        </xdr:cNvSpPr>
      </xdr:nvSpPr>
      <xdr:spPr>
        <a:xfrm>
          <a:off x="66675" y="25755600"/>
          <a:ext cx="2962275" cy="2114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El Margen Bruto</a:t>
          </a:r>
          <a:r>
            <a:rPr lang="en-US" cap="none" sz="1000" b="0" i="0" u="none" baseline="0">
              <a:solidFill>
                <a:srgbClr val="000000"/>
              </a:solidFill>
              <a:latin typeface="Arial"/>
              <a:ea typeface="Arial"/>
              <a:cs typeface="Arial"/>
            </a:rPr>
            <a:t> es la diferencia entre el </a:t>
          </a:r>
          <a:r>
            <a:rPr lang="en-US" cap="none" sz="1000" b="1" i="0" u="none" baseline="0">
              <a:solidFill>
                <a:srgbClr val="000000"/>
              </a:solidFill>
              <a:latin typeface="Arial"/>
              <a:ea typeface="Arial"/>
              <a:cs typeface="Arial"/>
            </a:rPr>
            <a:t>Ingreso Bruto </a:t>
          </a:r>
          <a:r>
            <a:rPr lang="en-US" cap="none" sz="1000" b="0" i="0" u="none" baseline="0">
              <a:solidFill>
                <a:srgbClr val="000000"/>
              </a:solidFill>
              <a:latin typeface="Arial"/>
              <a:ea typeface="Arial"/>
              <a:cs typeface="Arial"/>
            </a:rPr>
            <a:t>y </a:t>
          </a:r>
          <a:r>
            <a:rPr lang="en-US" cap="none" sz="1000" b="1" i="0" u="none" baseline="0">
              <a:solidFill>
                <a:srgbClr val="000000"/>
              </a:solidFill>
              <a:latin typeface="Arial"/>
              <a:ea typeface="Arial"/>
              <a:cs typeface="Arial"/>
            </a:rPr>
            <a:t>Total de Gastos Directos</a:t>
          </a:r>
          <a:r>
            <a:rPr lang="en-US" cap="none" sz="1000" b="0" i="0" u="none" baseline="0">
              <a:solidFill>
                <a:srgbClr val="000000"/>
              </a:solidFill>
              <a:latin typeface="Arial"/>
              <a:ea typeface="Arial"/>
              <a:cs typeface="Arial"/>
            </a:rPr>
            <a:t>. En el ejemplo debemos considerar sólo la primer columna de rendimientos para observar el Margen Bruto puesto que en las demás no existe rendimiento y por lo tanto el margen bruto de cada una de las siguientes columnas resultará negativo y corresponde a los gastos fijos por hectárea e independientes del nivel de rendimientos (Laboreos e Implantación). Es posible encontrar márgenes brutos negativos aunque se coloquen rendimientos y en esto nos ayuda esta planilla, a observar los niveles cuyos márgenes son muy ajustados o negativos y poder así determinar prioridades en cuanto a la implantación de determinados cultivos.
</a:t>
          </a:r>
          <a:r>
            <a:rPr lang="en-US" cap="none" sz="1000" b="0" i="0" u="none" baseline="0">
              <a:solidFill>
                <a:srgbClr val="000000"/>
              </a:solidFill>
              <a:latin typeface="Arial"/>
              <a:ea typeface="Arial"/>
              <a:cs typeface="Arial"/>
            </a:rPr>
            <a:t>                    270 - 94,87 = 175,13</a:t>
          </a:r>
        </a:p>
      </xdr:txBody>
    </xdr:sp>
    <xdr:clientData/>
  </xdr:twoCellAnchor>
  <xdr:twoCellAnchor>
    <xdr:from>
      <xdr:col>3</xdr:col>
      <xdr:colOff>209550</xdr:colOff>
      <xdr:row>157</xdr:row>
      <xdr:rowOff>9525</xdr:rowOff>
    </xdr:from>
    <xdr:to>
      <xdr:col>10</xdr:col>
      <xdr:colOff>457200</xdr:colOff>
      <xdr:row>171</xdr:row>
      <xdr:rowOff>19050</xdr:rowOff>
    </xdr:to>
    <xdr:sp>
      <xdr:nvSpPr>
        <xdr:cNvPr id="21" name="Text Box 21"/>
        <xdr:cNvSpPr txBox="1">
          <a:spLocks noChangeArrowheads="1"/>
        </xdr:cNvSpPr>
      </xdr:nvSpPr>
      <xdr:spPr>
        <a:xfrm>
          <a:off x="3086100" y="25803225"/>
          <a:ext cx="5705475" cy="22764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El punto de indiferencia en kilogramos </a:t>
          </a:r>
          <a:r>
            <a:rPr lang="en-US" cap="none" sz="1000" b="0" i="0" u="none" baseline="0">
              <a:solidFill>
                <a:srgbClr val="000000"/>
              </a:solidFill>
              <a:latin typeface="Arial"/>
              <a:ea typeface="Arial"/>
              <a:cs typeface="Arial"/>
            </a:rPr>
            <a:t>está indicando el mínimo rendimiento para que a estos niveles de gastos y este precio de pizarra el margen bruto sea 0 (cero) y se obtiene del modo siguiente:
</a:t>
          </a:r>
          <a:r>
            <a:rPr lang="en-US" cap="none" sz="1000" b="1" i="0" u="none" baseline="0">
              <a:solidFill>
                <a:srgbClr val="000000"/>
              </a:solidFill>
              <a:latin typeface="Arial"/>
              <a:ea typeface="Arial"/>
              <a:cs typeface="Arial"/>
            </a:rPr>
            <a:t>Total Gastos de Implantación y Protección/(Precio - Gastos de cosecha y comercialización por tonelada) x mil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32,50/(150-34,68) x 1000 = 282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El punto de indiferencia en Pesos ($)</a:t>
          </a:r>
          <a:r>
            <a:rPr lang="en-US" cap="none" sz="1000" b="0" i="0" u="none" baseline="0">
              <a:solidFill>
                <a:srgbClr val="000000"/>
              </a:solidFill>
              <a:latin typeface="Arial"/>
              <a:ea typeface="Arial"/>
              <a:cs typeface="Arial"/>
            </a:rPr>
            <a:t> nos indica el precio mínimo al que se puede comercializar la cosecha con ese nivel de rendimiento y esos niveles de gastos.
</a:t>
          </a:r>
          <a:r>
            <a:rPr lang="en-US" cap="none" sz="1000" b="0" i="0" u="none" baseline="0">
              <a:solidFill>
                <a:srgbClr val="000000"/>
              </a:solidFill>
              <a:latin typeface="Arial"/>
              <a:ea typeface="Arial"/>
              <a:cs typeface="Arial"/>
            </a:rPr>
            <a:t>(Total Gastos Implantación y Protección + Valor del flete por  rendimiento/ 1000)/(rendimeinto/1000-(rendimiento/1000* (%cosecha +% Ing. B. + % sellos)))
</a:t>
          </a:r>
          <a:r>
            <a:rPr lang="en-US" cap="none" sz="1000" b="0" i="0" u="none" baseline="0">
              <a:solidFill>
                <a:srgbClr val="000000"/>
              </a:solidFill>
              <a:latin typeface="Arial"/>
              <a:ea typeface="Arial"/>
              <a:cs typeface="Arial"/>
            </a:rPr>
            <a:t>(32,50+18x1800/1000)/(1800/1000-(1800/1000 x (10% + 1%+ 0,121%)=40,57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274</xdr:row>
      <xdr:rowOff>9525</xdr:rowOff>
    </xdr:from>
    <xdr:to>
      <xdr:col>11</xdr:col>
      <xdr:colOff>28575</xdr:colOff>
      <xdr:row>304</xdr:row>
      <xdr:rowOff>152400</xdr:rowOff>
    </xdr:to>
    <xdr:graphicFrame>
      <xdr:nvGraphicFramePr>
        <xdr:cNvPr id="1" name="Gráfico 1"/>
        <xdr:cNvGraphicFramePr/>
      </xdr:nvGraphicFramePr>
      <xdr:xfrm>
        <a:off x="247650" y="43614975"/>
        <a:ext cx="9010650" cy="5029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306</xdr:row>
      <xdr:rowOff>133350</xdr:rowOff>
    </xdr:from>
    <xdr:to>
      <xdr:col>10</xdr:col>
      <xdr:colOff>800100</xdr:colOff>
      <xdr:row>337</xdr:row>
      <xdr:rowOff>0</xdr:rowOff>
    </xdr:to>
    <xdr:graphicFrame>
      <xdr:nvGraphicFramePr>
        <xdr:cNvPr id="2" name="Gráfico 2"/>
        <xdr:cNvGraphicFramePr/>
      </xdr:nvGraphicFramePr>
      <xdr:xfrm>
        <a:off x="247650" y="48948975"/>
        <a:ext cx="8982075" cy="4886325"/>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340</xdr:row>
      <xdr:rowOff>19050</xdr:rowOff>
    </xdr:from>
    <xdr:to>
      <xdr:col>10</xdr:col>
      <xdr:colOff>800100</xdr:colOff>
      <xdr:row>371</xdr:row>
      <xdr:rowOff>9525</xdr:rowOff>
    </xdr:to>
    <xdr:graphicFrame>
      <xdr:nvGraphicFramePr>
        <xdr:cNvPr id="3" name="Gráfico 3"/>
        <xdr:cNvGraphicFramePr/>
      </xdr:nvGraphicFramePr>
      <xdr:xfrm>
        <a:off x="238125" y="54340125"/>
        <a:ext cx="8991600" cy="50101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374</xdr:row>
      <xdr:rowOff>19050</xdr:rowOff>
    </xdr:from>
    <xdr:to>
      <xdr:col>10</xdr:col>
      <xdr:colOff>800100</xdr:colOff>
      <xdr:row>404</xdr:row>
      <xdr:rowOff>142875</xdr:rowOff>
    </xdr:to>
    <xdr:graphicFrame>
      <xdr:nvGraphicFramePr>
        <xdr:cNvPr id="4" name="Gráfico 4"/>
        <xdr:cNvGraphicFramePr/>
      </xdr:nvGraphicFramePr>
      <xdr:xfrm>
        <a:off x="266700" y="59845575"/>
        <a:ext cx="8963025" cy="49815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406</xdr:row>
      <xdr:rowOff>47625</xdr:rowOff>
    </xdr:from>
    <xdr:to>
      <xdr:col>10</xdr:col>
      <xdr:colOff>800100</xdr:colOff>
      <xdr:row>435</xdr:row>
      <xdr:rowOff>9525</xdr:rowOff>
    </xdr:to>
    <xdr:graphicFrame>
      <xdr:nvGraphicFramePr>
        <xdr:cNvPr id="5" name="Gráfico 5"/>
        <xdr:cNvGraphicFramePr/>
      </xdr:nvGraphicFramePr>
      <xdr:xfrm>
        <a:off x="247650" y="65055750"/>
        <a:ext cx="8982075" cy="465772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439</xdr:row>
      <xdr:rowOff>9525</xdr:rowOff>
    </xdr:from>
    <xdr:to>
      <xdr:col>10</xdr:col>
      <xdr:colOff>800100</xdr:colOff>
      <xdr:row>470</xdr:row>
      <xdr:rowOff>9525</xdr:rowOff>
    </xdr:to>
    <xdr:graphicFrame>
      <xdr:nvGraphicFramePr>
        <xdr:cNvPr id="6" name="Gráfico 6"/>
        <xdr:cNvGraphicFramePr/>
      </xdr:nvGraphicFramePr>
      <xdr:xfrm>
        <a:off x="257175" y="70361175"/>
        <a:ext cx="8972550" cy="5019675"/>
      </xdr:xfrm>
      <a:graphic>
        <a:graphicData uri="http://schemas.openxmlformats.org/drawingml/2006/chart">
          <c:chart xmlns:c="http://schemas.openxmlformats.org/drawingml/2006/chart" r:id="rId6"/>
        </a:graphicData>
      </a:graphic>
    </xdr:graphicFrame>
    <xdr:clientData/>
  </xdr:twoCellAnchor>
  <xdr:twoCellAnchor>
    <xdr:from>
      <xdr:col>13</xdr:col>
      <xdr:colOff>257175</xdr:colOff>
      <xdr:row>274</xdr:row>
      <xdr:rowOff>9525</xdr:rowOff>
    </xdr:from>
    <xdr:to>
      <xdr:col>22</xdr:col>
      <xdr:colOff>752475</xdr:colOff>
      <xdr:row>304</xdr:row>
      <xdr:rowOff>152400</xdr:rowOff>
    </xdr:to>
    <xdr:graphicFrame>
      <xdr:nvGraphicFramePr>
        <xdr:cNvPr id="7" name="Gráfico 7"/>
        <xdr:cNvGraphicFramePr/>
      </xdr:nvGraphicFramePr>
      <xdr:xfrm>
        <a:off x="10572750" y="43614975"/>
        <a:ext cx="8839200" cy="5029200"/>
      </xdr:xfrm>
      <a:graphic>
        <a:graphicData uri="http://schemas.openxmlformats.org/drawingml/2006/chart">
          <c:chart xmlns:c="http://schemas.openxmlformats.org/drawingml/2006/chart" r:id="rId7"/>
        </a:graphicData>
      </a:graphic>
    </xdr:graphicFrame>
    <xdr:clientData/>
  </xdr:twoCellAnchor>
  <xdr:twoCellAnchor>
    <xdr:from>
      <xdr:col>13</xdr:col>
      <xdr:colOff>200025</xdr:colOff>
      <xdr:row>306</xdr:row>
      <xdr:rowOff>38100</xdr:rowOff>
    </xdr:from>
    <xdr:to>
      <xdr:col>22</xdr:col>
      <xdr:colOff>752475</xdr:colOff>
      <xdr:row>337</xdr:row>
      <xdr:rowOff>9525</xdr:rowOff>
    </xdr:to>
    <xdr:graphicFrame>
      <xdr:nvGraphicFramePr>
        <xdr:cNvPr id="8" name="Gráfico 8"/>
        <xdr:cNvGraphicFramePr/>
      </xdr:nvGraphicFramePr>
      <xdr:xfrm>
        <a:off x="10515600" y="48853725"/>
        <a:ext cx="8896350" cy="4991100"/>
      </xdr:xfrm>
      <a:graphic>
        <a:graphicData uri="http://schemas.openxmlformats.org/drawingml/2006/chart">
          <c:chart xmlns:c="http://schemas.openxmlformats.org/drawingml/2006/chart" r:id="rId8"/>
        </a:graphicData>
      </a:graphic>
    </xdr:graphicFrame>
    <xdr:clientData/>
  </xdr:twoCellAnchor>
  <xdr:twoCellAnchor>
    <xdr:from>
      <xdr:col>13</xdr:col>
      <xdr:colOff>9525</xdr:colOff>
      <xdr:row>340</xdr:row>
      <xdr:rowOff>9525</xdr:rowOff>
    </xdr:from>
    <xdr:to>
      <xdr:col>23</xdr:col>
      <xdr:colOff>0</xdr:colOff>
      <xdr:row>371</xdr:row>
      <xdr:rowOff>28575</xdr:rowOff>
    </xdr:to>
    <xdr:graphicFrame>
      <xdr:nvGraphicFramePr>
        <xdr:cNvPr id="9" name="Gráfico 9"/>
        <xdr:cNvGraphicFramePr/>
      </xdr:nvGraphicFramePr>
      <xdr:xfrm>
        <a:off x="10325100" y="54330600"/>
        <a:ext cx="9096375" cy="5038725"/>
      </xdr:xfrm>
      <a:graphic>
        <a:graphicData uri="http://schemas.openxmlformats.org/drawingml/2006/chart">
          <c:chart xmlns:c="http://schemas.openxmlformats.org/drawingml/2006/chart" r:id="rId9"/>
        </a:graphicData>
      </a:graphic>
    </xdr:graphicFrame>
    <xdr:clientData/>
  </xdr:twoCellAnchor>
  <xdr:twoCellAnchor>
    <xdr:from>
      <xdr:col>13</xdr:col>
      <xdr:colOff>9525</xdr:colOff>
      <xdr:row>374</xdr:row>
      <xdr:rowOff>9525</xdr:rowOff>
    </xdr:from>
    <xdr:to>
      <xdr:col>22</xdr:col>
      <xdr:colOff>733425</xdr:colOff>
      <xdr:row>404</xdr:row>
      <xdr:rowOff>152400</xdr:rowOff>
    </xdr:to>
    <xdr:graphicFrame>
      <xdr:nvGraphicFramePr>
        <xdr:cNvPr id="10" name="Gráfico 10"/>
        <xdr:cNvGraphicFramePr/>
      </xdr:nvGraphicFramePr>
      <xdr:xfrm>
        <a:off x="10325100" y="59836050"/>
        <a:ext cx="9067800" cy="5000625"/>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406</xdr:row>
      <xdr:rowOff>9525</xdr:rowOff>
    </xdr:from>
    <xdr:to>
      <xdr:col>23</xdr:col>
      <xdr:colOff>0</xdr:colOff>
      <xdr:row>435</xdr:row>
      <xdr:rowOff>152400</xdr:rowOff>
    </xdr:to>
    <xdr:graphicFrame>
      <xdr:nvGraphicFramePr>
        <xdr:cNvPr id="11" name="Gráfico 11"/>
        <xdr:cNvGraphicFramePr/>
      </xdr:nvGraphicFramePr>
      <xdr:xfrm>
        <a:off x="10315575" y="65017650"/>
        <a:ext cx="9105900" cy="4838700"/>
      </xdr:xfrm>
      <a:graphic>
        <a:graphicData uri="http://schemas.openxmlformats.org/drawingml/2006/chart">
          <c:chart xmlns:c="http://schemas.openxmlformats.org/drawingml/2006/chart" r:id="rId11"/>
        </a:graphicData>
      </a:graphic>
    </xdr:graphicFrame>
    <xdr:clientData/>
  </xdr:twoCellAnchor>
  <xdr:twoCellAnchor>
    <xdr:from>
      <xdr:col>13</xdr:col>
      <xdr:colOff>19050</xdr:colOff>
      <xdr:row>438</xdr:row>
      <xdr:rowOff>9525</xdr:rowOff>
    </xdr:from>
    <xdr:to>
      <xdr:col>23</xdr:col>
      <xdr:colOff>0</xdr:colOff>
      <xdr:row>467</xdr:row>
      <xdr:rowOff>95250</xdr:rowOff>
    </xdr:to>
    <xdr:graphicFrame>
      <xdr:nvGraphicFramePr>
        <xdr:cNvPr id="12" name="Gráfico 12"/>
        <xdr:cNvGraphicFramePr/>
      </xdr:nvGraphicFramePr>
      <xdr:xfrm>
        <a:off x="10334625" y="70199250"/>
        <a:ext cx="9086850" cy="4781550"/>
      </xdr:xfrm>
      <a:graphic>
        <a:graphicData uri="http://schemas.openxmlformats.org/drawingml/2006/chart">
          <c:chart xmlns:c="http://schemas.openxmlformats.org/drawingml/2006/chart" r:id="rId1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274</xdr:row>
      <xdr:rowOff>9525</xdr:rowOff>
    </xdr:from>
    <xdr:to>
      <xdr:col>11</xdr:col>
      <xdr:colOff>28575</xdr:colOff>
      <xdr:row>304</xdr:row>
      <xdr:rowOff>152400</xdr:rowOff>
    </xdr:to>
    <xdr:graphicFrame>
      <xdr:nvGraphicFramePr>
        <xdr:cNvPr id="1" name="Gráfico 1"/>
        <xdr:cNvGraphicFramePr/>
      </xdr:nvGraphicFramePr>
      <xdr:xfrm>
        <a:off x="247650" y="43614975"/>
        <a:ext cx="9134475" cy="5029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306</xdr:row>
      <xdr:rowOff>133350</xdr:rowOff>
    </xdr:from>
    <xdr:to>
      <xdr:col>10</xdr:col>
      <xdr:colOff>800100</xdr:colOff>
      <xdr:row>337</xdr:row>
      <xdr:rowOff>0</xdr:rowOff>
    </xdr:to>
    <xdr:graphicFrame>
      <xdr:nvGraphicFramePr>
        <xdr:cNvPr id="2" name="Gráfico 2"/>
        <xdr:cNvGraphicFramePr/>
      </xdr:nvGraphicFramePr>
      <xdr:xfrm>
        <a:off x="247650" y="48948975"/>
        <a:ext cx="9105900" cy="4886325"/>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340</xdr:row>
      <xdr:rowOff>19050</xdr:rowOff>
    </xdr:from>
    <xdr:to>
      <xdr:col>10</xdr:col>
      <xdr:colOff>800100</xdr:colOff>
      <xdr:row>371</xdr:row>
      <xdr:rowOff>9525</xdr:rowOff>
    </xdr:to>
    <xdr:graphicFrame>
      <xdr:nvGraphicFramePr>
        <xdr:cNvPr id="3" name="Gráfico 3"/>
        <xdr:cNvGraphicFramePr/>
      </xdr:nvGraphicFramePr>
      <xdr:xfrm>
        <a:off x="238125" y="54340125"/>
        <a:ext cx="9115425" cy="50101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374</xdr:row>
      <xdr:rowOff>19050</xdr:rowOff>
    </xdr:from>
    <xdr:to>
      <xdr:col>10</xdr:col>
      <xdr:colOff>800100</xdr:colOff>
      <xdr:row>404</xdr:row>
      <xdr:rowOff>142875</xdr:rowOff>
    </xdr:to>
    <xdr:graphicFrame>
      <xdr:nvGraphicFramePr>
        <xdr:cNvPr id="4" name="Gráfico 4"/>
        <xdr:cNvGraphicFramePr/>
      </xdr:nvGraphicFramePr>
      <xdr:xfrm>
        <a:off x="266700" y="59845575"/>
        <a:ext cx="9086850" cy="49815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406</xdr:row>
      <xdr:rowOff>47625</xdr:rowOff>
    </xdr:from>
    <xdr:to>
      <xdr:col>10</xdr:col>
      <xdr:colOff>800100</xdr:colOff>
      <xdr:row>435</xdr:row>
      <xdr:rowOff>9525</xdr:rowOff>
    </xdr:to>
    <xdr:graphicFrame>
      <xdr:nvGraphicFramePr>
        <xdr:cNvPr id="5" name="Gráfico 5"/>
        <xdr:cNvGraphicFramePr/>
      </xdr:nvGraphicFramePr>
      <xdr:xfrm>
        <a:off x="247650" y="65055750"/>
        <a:ext cx="9105900" cy="465772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439</xdr:row>
      <xdr:rowOff>9525</xdr:rowOff>
    </xdr:from>
    <xdr:to>
      <xdr:col>10</xdr:col>
      <xdr:colOff>800100</xdr:colOff>
      <xdr:row>470</xdr:row>
      <xdr:rowOff>9525</xdr:rowOff>
    </xdr:to>
    <xdr:graphicFrame>
      <xdr:nvGraphicFramePr>
        <xdr:cNvPr id="6" name="Gráfico 6"/>
        <xdr:cNvGraphicFramePr/>
      </xdr:nvGraphicFramePr>
      <xdr:xfrm>
        <a:off x="257175" y="70361175"/>
        <a:ext cx="9096375" cy="5019675"/>
      </xdr:xfrm>
      <a:graphic>
        <a:graphicData uri="http://schemas.openxmlformats.org/drawingml/2006/chart">
          <c:chart xmlns:c="http://schemas.openxmlformats.org/drawingml/2006/chart" r:id="rId6"/>
        </a:graphicData>
      </a:graphic>
    </xdr:graphicFrame>
    <xdr:clientData/>
  </xdr:twoCellAnchor>
  <xdr:twoCellAnchor>
    <xdr:from>
      <xdr:col>13</xdr:col>
      <xdr:colOff>257175</xdr:colOff>
      <xdr:row>274</xdr:row>
      <xdr:rowOff>9525</xdr:rowOff>
    </xdr:from>
    <xdr:to>
      <xdr:col>22</xdr:col>
      <xdr:colOff>752475</xdr:colOff>
      <xdr:row>304</xdr:row>
      <xdr:rowOff>152400</xdr:rowOff>
    </xdr:to>
    <xdr:graphicFrame>
      <xdr:nvGraphicFramePr>
        <xdr:cNvPr id="7" name="Gráfico 7"/>
        <xdr:cNvGraphicFramePr/>
      </xdr:nvGraphicFramePr>
      <xdr:xfrm>
        <a:off x="10696575" y="43614975"/>
        <a:ext cx="8839200" cy="5029200"/>
      </xdr:xfrm>
      <a:graphic>
        <a:graphicData uri="http://schemas.openxmlformats.org/drawingml/2006/chart">
          <c:chart xmlns:c="http://schemas.openxmlformats.org/drawingml/2006/chart" r:id="rId7"/>
        </a:graphicData>
      </a:graphic>
    </xdr:graphicFrame>
    <xdr:clientData/>
  </xdr:twoCellAnchor>
  <xdr:twoCellAnchor>
    <xdr:from>
      <xdr:col>13</xdr:col>
      <xdr:colOff>200025</xdr:colOff>
      <xdr:row>306</xdr:row>
      <xdr:rowOff>38100</xdr:rowOff>
    </xdr:from>
    <xdr:to>
      <xdr:col>22</xdr:col>
      <xdr:colOff>752475</xdr:colOff>
      <xdr:row>337</xdr:row>
      <xdr:rowOff>9525</xdr:rowOff>
    </xdr:to>
    <xdr:graphicFrame>
      <xdr:nvGraphicFramePr>
        <xdr:cNvPr id="8" name="Gráfico 8"/>
        <xdr:cNvGraphicFramePr/>
      </xdr:nvGraphicFramePr>
      <xdr:xfrm>
        <a:off x="10639425" y="48853725"/>
        <a:ext cx="8896350" cy="4991100"/>
      </xdr:xfrm>
      <a:graphic>
        <a:graphicData uri="http://schemas.openxmlformats.org/drawingml/2006/chart">
          <c:chart xmlns:c="http://schemas.openxmlformats.org/drawingml/2006/chart" r:id="rId8"/>
        </a:graphicData>
      </a:graphic>
    </xdr:graphicFrame>
    <xdr:clientData/>
  </xdr:twoCellAnchor>
  <xdr:twoCellAnchor>
    <xdr:from>
      <xdr:col>13</xdr:col>
      <xdr:colOff>9525</xdr:colOff>
      <xdr:row>340</xdr:row>
      <xdr:rowOff>9525</xdr:rowOff>
    </xdr:from>
    <xdr:to>
      <xdr:col>23</xdr:col>
      <xdr:colOff>0</xdr:colOff>
      <xdr:row>371</xdr:row>
      <xdr:rowOff>28575</xdr:rowOff>
    </xdr:to>
    <xdr:graphicFrame>
      <xdr:nvGraphicFramePr>
        <xdr:cNvPr id="9" name="Gráfico 9"/>
        <xdr:cNvGraphicFramePr/>
      </xdr:nvGraphicFramePr>
      <xdr:xfrm>
        <a:off x="10448925" y="54330600"/>
        <a:ext cx="9096375" cy="5038725"/>
      </xdr:xfrm>
      <a:graphic>
        <a:graphicData uri="http://schemas.openxmlformats.org/drawingml/2006/chart">
          <c:chart xmlns:c="http://schemas.openxmlformats.org/drawingml/2006/chart" r:id="rId9"/>
        </a:graphicData>
      </a:graphic>
    </xdr:graphicFrame>
    <xdr:clientData/>
  </xdr:twoCellAnchor>
  <xdr:twoCellAnchor>
    <xdr:from>
      <xdr:col>13</xdr:col>
      <xdr:colOff>9525</xdr:colOff>
      <xdr:row>374</xdr:row>
      <xdr:rowOff>9525</xdr:rowOff>
    </xdr:from>
    <xdr:to>
      <xdr:col>22</xdr:col>
      <xdr:colOff>733425</xdr:colOff>
      <xdr:row>404</xdr:row>
      <xdr:rowOff>152400</xdr:rowOff>
    </xdr:to>
    <xdr:graphicFrame>
      <xdr:nvGraphicFramePr>
        <xdr:cNvPr id="10" name="Gráfico 10"/>
        <xdr:cNvGraphicFramePr/>
      </xdr:nvGraphicFramePr>
      <xdr:xfrm>
        <a:off x="10448925" y="59836050"/>
        <a:ext cx="9067800" cy="5000625"/>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406</xdr:row>
      <xdr:rowOff>9525</xdr:rowOff>
    </xdr:from>
    <xdr:to>
      <xdr:col>23</xdr:col>
      <xdr:colOff>0</xdr:colOff>
      <xdr:row>435</xdr:row>
      <xdr:rowOff>152400</xdr:rowOff>
    </xdr:to>
    <xdr:graphicFrame>
      <xdr:nvGraphicFramePr>
        <xdr:cNvPr id="11" name="Gráfico 11"/>
        <xdr:cNvGraphicFramePr/>
      </xdr:nvGraphicFramePr>
      <xdr:xfrm>
        <a:off x="10439400" y="65017650"/>
        <a:ext cx="9105900" cy="4838700"/>
      </xdr:xfrm>
      <a:graphic>
        <a:graphicData uri="http://schemas.openxmlformats.org/drawingml/2006/chart">
          <c:chart xmlns:c="http://schemas.openxmlformats.org/drawingml/2006/chart" r:id="rId11"/>
        </a:graphicData>
      </a:graphic>
    </xdr:graphicFrame>
    <xdr:clientData/>
  </xdr:twoCellAnchor>
  <xdr:twoCellAnchor>
    <xdr:from>
      <xdr:col>13</xdr:col>
      <xdr:colOff>19050</xdr:colOff>
      <xdr:row>438</xdr:row>
      <xdr:rowOff>9525</xdr:rowOff>
    </xdr:from>
    <xdr:to>
      <xdr:col>23</xdr:col>
      <xdr:colOff>0</xdr:colOff>
      <xdr:row>467</xdr:row>
      <xdr:rowOff>95250</xdr:rowOff>
    </xdr:to>
    <xdr:graphicFrame>
      <xdr:nvGraphicFramePr>
        <xdr:cNvPr id="12" name="Gráfico 12"/>
        <xdr:cNvGraphicFramePr/>
      </xdr:nvGraphicFramePr>
      <xdr:xfrm>
        <a:off x="10458450" y="70199250"/>
        <a:ext cx="9086850" cy="4781550"/>
      </xdr:xfrm>
      <a:graphic>
        <a:graphicData uri="http://schemas.openxmlformats.org/drawingml/2006/chart">
          <c:chart xmlns:c="http://schemas.openxmlformats.org/drawingml/2006/chart" r:id="rId1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26</xdr:row>
      <xdr:rowOff>9525</xdr:rowOff>
    </xdr:from>
    <xdr:to>
      <xdr:col>9</xdr:col>
      <xdr:colOff>47625</xdr:colOff>
      <xdr:row>50</xdr:row>
      <xdr:rowOff>66675</xdr:rowOff>
    </xdr:to>
    <xdr:graphicFrame>
      <xdr:nvGraphicFramePr>
        <xdr:cNvPr id="1" name="Gráfico 1"/>
        <xdr:cNvGraphicFramePr/>
      </xdr:nvGraphicFramePr>
      <xdr:xfrm>
        <a:off x="228600" y="4819650"/>
        <a:ext cx="7038975" cy="394335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26</xdr:row>
      <xdr:rowOff>28575</xdr:rowOff>
    </xdr:from>
    <xdr:to>
      <xdr:col>17</xdr:col>
      <xdr:colOff>1009650</xdr:colOff>
      <xdr:row>50</xdr:row>
      <xdr:rowOff>95250</xdr:rowOff>
    </xdr:to>
    <xdr:graphicFrame>
      <xdr:nvGraphicFramePr>
        <xdr:cNvPr id="2" name="Gráfico 2"/>
        <xdr:cNvGraphicFramePr/>
      </xdr:nvGraphicFramePr>
      <xdr:xfrm>
        <a:off x="8010525" y="4838700"/>
        <a:ext cx="6448425" cy="3952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2057400</xdr:colOff>
      <xdr:row>27</xdr:row>
      <xdr:rowOff>95250</xdr:rowOff>
    </xdr:from>
    <xdr:to>
      <xdr:col>3</xdr:col>
      <xdr:colOff>476250</xdr:colOff>
      <xdr:row>32</xdr:row>
      <xdr:rowOff>28575</xdr:rowOff>
    </xdr:to>
    <xdr:sp>
      <xdr:nvSpPr>
        <xdr:cNvPr id="1" name="Text Box 1"/>
        <xdr:cNvSpPr txBox="1">
          <a:spLocks noChangeArrowheads="1"/>
        </xdr:cNvSpPr>
      </xdr:nvSpPr>
      <xdr:spPr>
        <a:xfrm>
          <a:off x="2057400" y="4972050"/>
          <a:ext cx="2266950" cy="742950"/>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Recién después de agotar el saldo técnico de IVA, utilizo de este saldo para cancelar si es que debo pagar.</a:t>
          </a:r>
        </a:p>
      </xdr:txBody>
    </xdr:sp>
    <xdr:clientData/>
  </xdr:twoCellAnchor>
  <xdr:twoCellAnchor>
    <xdr:from>
      <xdr:col>1</xdr:col>
      <xdr:colOff>447675</xdr:colOff>
      <xdr:row>26</xdr:row>
      <xdr:rowOff>9525</xdr:rowOff>
    </xdr:from>
    <xdr:to>
      <xdr:col>2</xdr:col>
      <xdr:colOff>28575</xdr:colOff>
      <xdr:row>27</xdr:row>
      <xdr:rowOff>76200</xdr:rowOff>
    </xdr:to>
    <xdr:sp>
      <xdr:nvSpPr>
        <xdr:cNvPr id="2" name="Line 2"/>
        <xdr:cNvSpPr>
          <a:spLocks/>
        </xdr:cNvSpPr>
      </xdr:nvSpPr>
      <xdr:spPr>
        <a:xfrm flipH="1" flipV="1">
          <a:off x="2771775" y="4724400"/>
          <a:ext cx="342900" cy="228600"/>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16</xdr:row>
      <xdr:rowOff>95250</xdr:rowOff>
    </xdr:from>
    <xdr:to>
      <xdr:col>6</xdr:col>
      <xdr:colOff>104775</xdr:colOff>
      <xdr:row>20</xdr:row>
      <xdr:rowOff>28575</xdr:rowOff>
    </xdr:to>
    <xdr:sp>
      <xdr:nvSpPr>
        <xdr:cNvPr id="3" name="Text Box 3"/>
        <xdr:cNvSpPr txBox="1">
          <a:spLocks noChangeArrowheads="1"/>
        </xdr:cNvSpPr>
      </xdr:nvSpPr>
      <xdr:spPr>
        <a:xfrm>
          <a:off x="4305300" y="3028950"/>
          <a:ext cx="1933575" cy="581025"/>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Cubro con el saldo de Libre disponibilidad.
</a:t>
          </a:r>
        </a:p>
      </xdr:txBody>
    </xdr:sp>
    <xdr:clientData/>
  </xdr:twoCellAnchor>
  <xdr:twoCellAnchor>
    <xdr:from>
      <xdr:col>3</xdr:col>
      <xdr:colOff>9525</xdr:colOff>
      <xdr:row>17</xdr:row>
      <xdr:rowOff>133350</xdr:rowOff>
    </xdr:from>
    <xdr:to>
      <xdr:col>3</xdr:col>
      <xdr:colOff>409575</xdr:colOff>
      <xdr:row>18</xdr:row>
      <xdr:rowOff>47625</xdr:rowOff>
    </xdr:to>
    <xdr:sp>
      <xdr:nvSpPr>
        <xdr:cNvPr id="4" name="Line 4"/>
        <xdr:cNvSpPr>
          <a:spLocks/>
        </xdr:cNvSpPr>
      </xdr:nvSpPr>
      <xdr:spPr>
        <a:xfrm flipH="1" flipV="1">
          <a:off x="3857625" y="3228975"/>
          <a:ext cx="400050" cy="76200"/>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51</xdr:row>
      <xdr:rowOff>0</xdr:rowOff>
    </xdr:from>
    <xdr:to>
      <xdr:col>13</xdr:col>
      <xdr:colOff>419100</xdr:colOff>
      <xdr:row>54</xdr:row>
      <xdr:rowOff>38100</xdr:rowOff>
    </xdr:to>
    <xdr:sp>
      <xdr:nvSpPr>
        <xdr:cNvPr id="5" name="Text Box 5"/>
        <xdr:cNvSpPr txBox="1">
          <a:spLocks noChangeArrowheads="1"/>
        </xdr:cNvSpPr>
      </xdr:nvSpPr>
      <xdr:spPr>
        <a:xfrm>
          <a:off x="8124825" y="8943975"/>
          <a:ext cx="3762375" cy="523875"/>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800000"/>
              </a:solidFill>
              <a:latin typeface="Arial"/>
              <a:ea typeface="Arial"/>
              <a:cs typeface="Arial"/>
            </a:rPr>
            <a:t>Si en algún mes me quedó un saldo a pagar, puedo utilizar este saldo para cancelar.
</a:t>
          </a:r>
        </a:p>
      </xdr:txBody>
    </xdr:sp>
    <xdr:clientData/>
  </xdr:twoCellAnchor>
  <xdr:twoCellAnchor>
    <xdr:from>
      <xdr:col>12</xdr:col>
      <xdr:colOff>209550</xdr:colOff>
      <xdr:row>48</xdr:row>
      <xdr:rowOff>19050</xdr:rowOff>
    </xdr:from>
    <xdr:to>
      <xdr:col>13</xdr:col>
      <xdr:colOff>257175</xdr:colOff>
      <xdr:row>50</xdr:row>
      <xdr:rowOff>123825</xdr:rowOff>
    </xdr:to>
    <xdr:sp>
      <xdr:nvSpPr>
        <xdr:cNvPr id="6" name="Line 6"/>
        <xdr:cNvSpPr>
          <a:spLocks/>
        </xdr:cNvSpPr>
      </xdr:nvSpPr>
      <xdr:spPr>
        <a:xfrm flipV="1">
          <a:off x="10915650" y="8477250"/>
          <a:ext cx="809625" cy="428625"/>
        </a:xfrm>
        <a:prstGeom prst="line">
          <a:avLst/>
        </a:prstGeom>
        <a:noFill/>
        <a:ln w="76200" cmpd="sng">
          <a:solidFill>
            <a:srgbClr val="FF0000"/>
          </a:solidFill>
          <a:prstDash val="lgDashDot"/>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24</xdr:row>
      <xdr:rowOff>76200</xdr:rowOff>
    </xdr:from>
    <xdr:to>
      <xdr:col>4</xdr:col>
      <xdr:colOff>495300</xdr:colOff>
      <xdr:row>28</xdr:row>
      <xdr:rowOff>19050</xdr:rowOff>
    </xdr:to>
    <xdr:sp>
      <xdr:nvSpPr>
        <xdr:cNvPr id="1" name="Text Box 1"/>
        <xdr:cNvSpPr txBox="1">
          <a:spLocks noChangeArrowheads="1"/>
        </xdr:cNvSpPr>
      </xdr:nvSpPr>
      <xdr:spPr>
        <a:xfrm>
          <a:off x="4143375" y="4057650"/>
          <a:ext cx="1238250" cy="590550"/>
        </a:xfrm>
        <a:prstGeom prst="rect">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SALDO FINAL QUE PASA AL EJERCICIO SIGUIENTE</a:t>
          </a:r>
          <a:r>
            <a:rPr lang="en-US" cap="none" sz="1000" b="0" i="0" u="none" baseline="0">
              <a:solidFill>
                <a:srgbClr val="000000"/>
              </a:solidFill>
              <a:latin typeface="Arial"/>
              <a:ea typeface="Arial"/>
              <a:cs typeface="Arial"/>
            </a:rPr>
            <a:t>
</a:t>
          </a:r>
        </a:p>
      </xdr:txBody>
    </xdr:sp>
    <xdr:clientData/>
  </xdr:twoCellAnchor>
  <xdr:twoCellAnchor>
    <xdr:from>
      <xdr:col>4</xdr:col>
      <xdr:colOff>104775</xdr:colOff>
      <xdr:row>23</xdr:row>
      <xdr:rowOff>0</xdr:rowOff>
    </xdr:from>
    <xdr:to>
      <xdr:col>4</xdr:col>
      <xdr:colOff>323850</xdr:colOff>
      <xdr:row>24</xdr:row>
      <xdr:rowOff>95250</xdr:rowOff>
    </xdr:to>
    <xdr:sp>
      <xdr:nvSpPr>
        <xdr:cNvPr id="2" name="Line 2"/>
        <xdr:cNvSpPr>
          <a:spLocks/>
        </xdr:cNvSpPr>
      </xdr:nvSpPr>
      <xdr:spPr>
        <a:xfrm flipV="1">
          <a:off x="4991100" y="3819525"/>
          <a:ext cx="219075" cy="257175"/>
        </a:xfrm>
        <a:prstGeom prst="line">
          <a:avLst/>
        </a:prstGeom>
        <a:noFill/>
        <a:ln w="57150" cmpd="thickThin">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7</xdr:row>
      <xdr:rowOff>114300</xdr:rowOff>
    </xdr:from>
    <xdr:to>
      <xdr:col>6</xdr:col>
      <xdr:colOff>428625</xdr:colOff>
      <xdr:row>14</xdr:row>
      <xdr:rowOff>66675</xdr:rowOff>
    </xdr:to>
    <xdr:sp>
      <xdr:nvSpPr>
        <xdr:cNvPr id="3" name="Text Box 3"/>
        <xdr:cNvSpPr txBox="1">
          <a:spLocks noChangeArrowheads="1"/>
        </xdr:cNvSpPr>
      </xdr:nvSpPr>
      <xdr:spPr>
        <a:xfrm>
          <a:off x="5895975" y="1285875"/>
          <a:ext cx="942975" cy="10858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DIFERENCIA ENTRE SALDO TECNICO Y SALDO L. DISP. MES ANTERIOR
</a:t>
          </a:r>
        </a:p>
      </xdr:txBody>
    </xdr:sp>
    <xdr:clientData/>
  </xdr:twoCellAnchor>
  <xdr:twoCellAnchor>
    <xdr:from>
      <xdr:col>4</xdr:col>
      <xdr:colOff>752475</xdr:colOff>
      <xdr:row>10</xdr:row>
      <xdr:rowOff>19050</xdr:rowOff>
    </xdr:from>
    <xdr:to>
      <xdr:col>5</xdr:col>
      <xdr:colOff>219075</xdr:colOff>
      <xdr:row>11</xdr:row>
      <xdr:rowOff>76200</xdr:rowOff>
    </xdr:to>
    <xdr:sp>
      <xdr:nvSpPr>
        <xdr:cNvPr id="4" name="Line 4"/>
        <xdr:cNvSpPr>
          <a:spLocks/>
        </xdr:cNvSpPr>
      </xdr:nvSpPr>
      <xdr:spPr>
        <a:xfrm flipH="1">
          <a:off x="5638800" y="1676400"/>
          <a:ext cx="228600" cy="219075"/>
        </a:xfrm>
        <a:prstGeom prst="line">
          <a:avLst/>
        </a:prstGeom>
        <a:noFill/>
        <a:ln w="57150" cmpd="thickThin">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40</xdr:row>
      <xdr:rowOff>0</xdr:rowOff>
    </xdr:from>
    <xdr:to>
      <xdr:col>5</xdr:col>
      <xdr:colOff>352425</xdr:colOff>
      <xdr:row>41</xdr:row>
      <xdr:rowOff>76200</xdr:rowOff>
    </xdr:to>
    <xdr:sp>
      <xdr:nvSpPr>
        <xdr:cNvPr id="5" name="Line 5"/>
        <xdr:cNvSpPr>
          <a:spLocks/>
        </xdr:cNvSpPr>
      </xdr:nvSpPr>
      <xdr:spPr>
        <a:xfrm flipH="1">
          <a:off x="5638800" y="6610350"/>
          <a:ext cx="361950" cy="238125"/>
        </a:xfrm>
        <a:prstGeom prst="line">
          <a:avLst/>
        </a:prstGeom>
        <a:noFill/>
        <a:ln w="57150" cmpd="thickThin">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36</xdr:row>
      <xdr:rowOff>152400</xdr:rowOff>
    </xdr:from>
    <xdr:to>
      <xdr:col>6</xdr:col>
      <xdr:colOff>619125</xdr:colOff>
      <xdr:row>43</xdr:row>
      <xdr:rowOff>47625</xdr:rowOff>
    </xdr:to>
    <xdr:sp>
      <xdr:nvSpPr>
        <xdr:cNvPr id="6" name="Text Box 6"/>
        <xdr:cNvSpPr txBox="1">
          <a:spLocks noChangeArrowheads="1"/>
        </xdr:cNvSpPr>
      </xdr:nvSpPr>
      <xdr:spPr>
        <a:xfrm>
          <a:off x="6076950" y="6115050"/>
          <a:ext cx="952500" cy="1028700"/>
        </a:xfrm>
        <a:prstGeom prst="rect">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DIFERENCIA ENTRE SALDO TECNICO Y SALDO L. DISP. MES ANTERIOR
</a:t>
          </a:r>
        </a:p>
      </xdr:txBody>
    </xdr:sp>
    <xdr:clientData/>
  </xdr:twoCellAnchor>
  <xdr:twoCellAnchor>
    <xdr:from>
      <xdr:col>3</xdr:col>
      <xdr:colOff>542925</xdr:colOff>
      <xdr:row>48</xdr:row>
      <xdr:rowOff>19050</xdr:rowOff>
    </xdr:from>
    <xdr:to>
      <xdr:col>4</xdr:col>
      <xdr:colOff>390525</xdr:colOff>
      <xdr:row>50</xdr:row>
      <xdr:rowOff>85725</xdr:rowOff>
    </xdr:to>
    <xdr:sp>
      <xdr:nvSpPr>
        <xdr:cNvPr id="7" name="Text Box 7"/>
        <xdr:cNvSpPr txBox="1">
          <a:spLocks noChangeArrowheads="1"/>
        </xdr:cNvSpPr>
      </xdr:nvSpPr>
      <xdr:spPr>
        <a:xfrm>
          <a:off x="3609975" y="7924800"/>
          <a:ext cx="1666875" cy="390525"/>
        </a:xfrm>
        <a:prstGeom prst="rect">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SALDO FINAL QUE PASA AL EJERCICIO SIGUIENTE</a:t>
          </a:r>
        </a:p>
      </xdr:txBody>
    </xdr:sp>
    <xdr:clientData/>
  </xdr:twoCellAnchor>
  <xdr:twoCellAnchor>
    <xdr:from>
      <xdr:col>4</xdr:col>
      <xdr:colOff>38100</xdr:colOff>
      <xdr:row>45</xdr:row>
      <xdr:rowOff>0</xdr:rowOff>
    </xdr:from>
    <xdr:to>
      <xdr:col>4</xdr:col>
      <xdr:colOff>361950</xdr:colOff>
      <xdr:row>47</xdr:row>
      <xdr:rowOff>133350</xdr:rowOff>
    </xdr:to>
    <xdr:sp>
      <xdr:nvSpPr>
        <xdr:cNvPr id="8" name="Line 8"/>
        <xdr:cNvSpPr>
          <a:spLocks/>
        </xdr:cNvSpPr>
      </xdr:nvSpPr>
      <xdr:spPr>
        <a:xfrm flipV="1">
          <a:off x="4924425" y="7419975"/>
          <a:ext cx="323850" cy="457200"/>
        </a:xfrm>
        <a:prstGeom prst="line">
          <a:avLst/>
        </a:prstGeom>
        <a:noFill/>
        <a:ln w="57150" cmpd="thickThin">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23</xdr:row>
      <xdr:rowOff>152400</xdr:rowOff>
    </xdr:from>
    <xdr:to>
      <xdr:col>3</xdr:col>
      <xdr:colOff>638175</xdr:colOff>
      <xdr:row>29</xdr:row>
      <xdr:rowOff>38100</xdr:rowOff>
    </xdr:to>
    <xdr:sp>
      <xdr:nvSpPr>
        <xdr:cNvPr id="1" name="Text Box 1"/>
        <xdr:cNvSpPr txBox="1">
          <a:spLocks noChangeArrowheads="1"/>
        </xdr:cNvSpPr>
      </xdr:nvSpPr>
      <xdr:spPr>
        <a:xfrm>
          <a:off x="3533775" y="4105275"/>
          <a:ext cx="1066800" cy="857250"/>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Si la diferencia es negativa debemos pagar</a:t>
          </a:r>
        </a:p>
      </xdr:txBody>
    </xdr:sp>
    <xdr:clientData/>
  </xdr:twoCellAnchor>
  <xdr:twoCellAnchor>
    <xdr:from>
      <xdr:col>2</xdr:col>
      <xdr:colOff>0</xdr:colOff>
      <xdr:row>25</xdr:row>
      <xdr:rowOff>85725</xdr:rowOff>
    </xdr:from>
    <xdr:to>
      <xdr:col>2</xdr:col>
      <xdr:colOff>266700</xdr:colOff>
      <xdr:row>25</xdr:row>
      <xdr:rowOff>95250</xdr:rowOff>
    </xdr:to>
    <xdr:sp>
      <xdr:nvSpPr>
        <xdr:cNvPr id="2" name="Line 2"/>
        <xdr:cNvSpPr>
          <a:spLocks/>
        </xdr:cNvSpPr>
      </xdr:nvSpPr>
      <xdr:spPr>
        <a:xfrm flipV="1">
          <a:off x="3200400" y="4362450"/>
          <a:ext cx="266700" cy="95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56</xdr:row>
      <xdr:rowOff>152400</xdr:rowOff>
    </xdr:from>
    <xdr:to>
      <xdr:col>3</xdr:col>
      <xdr:colOff>638175</xdr:colOff>
      <xdr:row>62</xdr:row>
      <xdr:rowOff>38100</xdr:rowOff>
    </xdr:to>
    <xdr:sp>
      <xdr:nvSpPr>
        <xdr:cNvPr id="3" name="Text Box 3"/>
        <xdr:cNvSpPr txBox="1">
          <a:spLocks noChangeArrowheads="1"/>
        </xdr:cNvSpPr>
      </xdr:nvSpPr>
      <xdr:spPr>
        <a:xfrm>
          <a:off x="3533775" y="9677400"/>
          <a:ext cx="1066800" cy="857250"/>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Si la diferencia es negativa debemos pagar</a:t>
          </a:r>
        </a:p>
      </xdr:txBody>
    </xdr:sp>
    <xdr:clientData/>
  </xdr:twoCellAnchor>
  <xdr:twoCellAnchor>
    <xdr:from>
      <xdr:col>2</xdr:col>
      <xdr:colOff>0</xdr:colOff>
      <xdr:row>58</xdr:row>
      <xdr:rowOff>85725</xdr:rowOff>
    </xdr:from>
    <xdr:to>
      <xdr:col>2</xdr:col>
      <xdr:colOff>266700</xdr:colOff>
      <xdr:row>58</xdr:row>
      <xdr:rowOff>95250</xdr:rowOff>
    </xdr:to>
    <xdr:sp>
      <xdr:nvSpPr>
        <xdr:cNvPr id="4" name="Line 4"/>
        <xdr:cNvSpPr>
          <a:spLocks/>
        </xdr:cNvSpPr>
      </xdr:nvSpPr>
      <xdr:spPr>
        <a:xfrm flipV="1">
          <a:off x="3200400" y="9934575"/>
          <a:ext cx="266700" cy="95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64</xdr:row>
      <xdr:rowOff>133350</xdr:rowOff>
    </xdr:from>
    <xdr:to>
      <xdr:col>3</xdr:col>
      <xdr:colOff>676275</xdr:colOff>
      <xdr:row>70</xdr:row>
      <xdr:rowOff>19050</xdr:rowOff>
    </xdr:to>
    <xdr:sp>
      <xdr:nvSpPr>
        <xdr:cNvPr id="5" name="Text Box 5"/>
        <xdr:cNvSpPr txBox="1">
          <a:spLocks noChangeArrowheads="1"/>
        </xdr:cNvSpPr>
      </xdr:nvSpPr>
      <xdr:spPr>
        <a:xfrm>
          <a:off x="3571875" y="10953750"/>
          <a:ext cx="1066800" cy="857250"/>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Si la diferencia es negativa debemos pagar</a:t>
          </a:r>
        </a:p>
      </xdr:txBody>
    </xdr:sp>
    <xdr:clientData/>
  </xdr:twoCellAnchor>
  <xdr:twoCellAnchor>
    <xdr:from>
      <xdr:col>2</xdr:col>
      <xdr:colOff>19050</xdr:colOff>
      <xdr:row>67</xdr:row>
      <xdr:rowOff>85725</xdr:rowOff>
    </xdr:from>
    <xdr:to>
      <xdr:col>2</xdr:col>
      <xdr:colOff>285750</xdr:colOff>
      <xdr:row>67</xdr:row>
      <xdr:rowOff>95250</xdr:rowOff>
    </xdr:to>
    <xdr:sp>
      <xdr:nvSpPr>
        <xdr:cNvPr id="6" name="Line 6"/>
        <xdr:cNvSpPr>
          <a:spLocks/>
        </xdr:cNvSpPr>
      </xdr:nvSpPr>
      <xdr:spPr>
        <a:xfrm flipV="1">
          <a:off x="3219450" y="11391900"/>
          <a:ext cx="266700" cy="95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101</xdr:row>
      <xdr:rowOff>152400</xdr:rowOff>
    </xdr:from>
    <xdr:to>
      <xdr:col>3</xdr:col>
      <xdr:colOff>638175</xdr:colOff>
      <xdr:row>107</xdr:row>
      <xdr:rowOff>38100</xdr:rowOff>
    </xdr:to>
    <xdr:sp>
      <xdr:nvSpPr>
        <xdr:cNvPr id="7" name="Text Box 7"/>
        <xdr:cNvSpPr txBox="1">
          <a:spLocks noChangeArrowheads="1"/>
        </xdr:cNvSpPr>
      </xdr:nvSpPr>
      <xdr:spPr>
        <a:xfrm>
          <a:off x="3533775" y="17192625"/>
          <a:ext cx="1066800" cy="857250"/>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Si la diferencia es negativa debemos pagar</a:t>
          </a:r>
        </a:p>
      </xdr:txBody>
    </xdr:sp>
    <xdr:clientData/>
  </xdr:twoCellAnchor>
  <xdr:twoCellAnchor>
    <xdr:from>
      <xdr:col>2</xdr:col>
      <xdr:colOff>0</xdr:colOff>
      <xdr:row>103</xdr:row>
      <xdr:rowOff>85725</xdr:rowOff>
    </xdr:from>
    <xdr:to>
      <xdr:col>2</xdr:col>
      <xdr:colOff>266700</xdr:colOff>
      <xdr:row>103</xdr:row>
      <xdr:rowOff>95250</xdr:rowOff>
    </xdr:to>
    <xdr:sp>
      <xdr:nvSpPr>
        <xdr:cNvPr id="8" name="Line 8"/>
        <xdr:cNvSpPr>
          <a:spLocks/>
        </xdr:cNvSpPr>
      </xdr:nvSpPr>
      <xdr:spPr>
        <a:xfrm flipV="1">
          <a:off x="3200400" y="17449800"/>
          <a:ext cx="266700" cy="95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134</xdr:row>
      <xdr:rowOff>152400</xdr:rowOff>
    </xdr:from>
    <xdr:to>
      <xdr:col>3</xdr:col>
      <xdr:colOff>638175</xdr:colOff>
      <xdr:row>140</xdr:row>
      <xdr:rowOff>38100</xdr:rowOff>
    </xdr:to>
    <xdr:sp>
      <xdr:nvSpPr>
        <xdr:cNvPr id="9" name="Text Box 9"/>
        <xdr:cNvSpPr txBox="1">
          <a:spLocks noChangeArrowheads="1"/>
        </xdr:cNvSpPr>
      </xdr:nvSpPr>
      <xdr:spPr>
        <a:xfrm>
          <a:off x="3533775" y="22764750"/>
          <a:ext cx="1066800" cy="857250"/>
        </a:xfrm>
        <a:prstGeom prst="rect">
          <a:avLst/>
        </a:prstGeom>
        <a:solidFill>
          <a:srgbClr val="FFCC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0000"/>
              </a:solidFill>
              <a:latin typeface="Arial"/>
              <a:ea typeface="Arial"/>
              <a:cs typeface="Arial"/>
            </a:rPr>
            <a:t>Si la diferencia es negativa debemos pagar</a:t>
          </a:r>
        </a:p>
      </xdr:txBody>
    </xdr:sp>
    <xdr:clientData/>
  </xdr:twoCellAnchor>
  <xdr:twoCellAnchor>
    <xdr:from>
      <xdr:col>2</xdr:col>
      <xdr:colOff>0</xdr:colOff>
      <xdr:row>136</xdr:row>
      <xdr:rowOff>85725</xdr:rowOff>
    </xdr:from>
    <xdr:to>
      <xdr:col>2</xdr:col>
      <xdr:colOff>266700</xdr:colOff>
      <xdr:row>136</xdr:row>
      <xdr:rowOff>95250</xdr:rowOff>
    </xdr:to>
    <xdr:sp>
      <xdr:nvSpPr>
        <xdr:cNvPr id="10" name="Line 10"/>
        <xdr:cNvSpPr>
          <a:spLocks/>
        </xdr:cNvSpPr>
      </xdr:nvSpPr>
      <xdr:spPr>
        <a:xfrm flipV="1">
          <a:off x="3200400" y="23021925"/>
          <a:ext cx="266700" cy="9525"/>
        </a:xfrm>
        <a:prstGeom prst="line">
          <a:avLst/>
        </a:prstGeom>
        <a:noFill/>
        <a:ln w="38100" cmpd="dbl">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AS\MERCAD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TAS\COST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ETAS\VickyGu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 B."/>
      <sheetName val="EQ. UTA"/>
      <sheetName val="SENSIB."/>
      <sheetName val="costos comp."/>
      <sheetName val="cria"/>
      <sheetName val="invern"/>
      <sheetName val="costos"/>
      <sheetName val="MARG. N."/>
      <sheetName val="MB PRACT."/>
      <sheetName val="coef."/>
      <sheetName val="t. disp."/>
      <sheetName val="t. req."/>
    </sheetNames>
    <sheetDataSet>
      <sheetData sheetId="0">
        <row r="7">
          <cell r="F7">
            <v>1800</v>
          </cell>
          <cell r="G7">
            <v>1900</v>
          </cell>
          <cell r="H7">
            <v>2500</v>
          </cell>
          <cell r="I7">
            <v>2800</v>
          </cell>
          <cell r="J7">
            <v>3000</v>
          </cell>
          <cell r="R7">
            <v>1800</v>
          </cell>
          <cell r="S7">
            <v>2200</v>
          </cell>
          <cell r="T7">
            <v>2500</v>
          </cell>
          <cell r="U7">
            <v>2800</v>
          </cell>
          <cell r="V7">
            <v>3000</v>
          </cell>
        </row>
        <row r="41">
          <cell r="F41">
            <v>66.71132139534885</v>
          </cell>
          <cell r="G41">
            <v>79.82075139534885</v>
          </cell>
          <cell r="H41">
            <v>158.47733139534887</v>
          </cell>
          <cell r="I41">
            <v>197.80562139534885</v>
          </cell>
          <cell r="J41">
            <v>224.02448139534886</v>
          </cell>
        </row>
        <row r="42">
          <cell r="R42">
            <v>34.11699514534885</v>
          </cell>
          <cell r="S42">
            <v>75.22264264534886</v>
          </cell>
          <cell r="T42">
            <v>106.05187827034885</v>
          </cell>
          <cell r="U42">
            <v>136.88111389534885</v>
          </cell>
          <cell r="V42">
            <v>157.43393764534886</v>
          </cell>
        </row>
        <row r="55">
          <cell r="F55">
            <v>1800</v>
          </cell>
          <cell r="G55">
            <v>1850</v>
          </cell>
          <cell r="H55">
            <v>2500</v>
          </cell>
          <cell r="I55">
            <v>2800</v>
          </cell>
          <cell r="J55">
            <v>3000</v>
          </cell>
          <cell r="R55">
            <v>1800</v>
          </cell>
          <cell r="S55">
            <v>2200</v>
          </cell>
          <cell r="T55">
            <v>2500</v>
          </cell>
          <cell r="U55">
            <v>2800</v>
          </cell>
          <cell r="V55">
            <v>3000</v>
          </cell>
        </row>
        <row r="85">
          <cell r="F85">
            <v>122.51265639534881</v>
          </cell>
          <cell r="G85">
            <v>128.73407514534884</v>
          </cell>
          <cell r="H85">
            <v>209.61251889534884</v>
          </cell>
          <cell r="I85">
            <v>246.94103139534883</v>
          </cell>
          <cell r="J85">
            <v>271.8267063953488</v>
          </cell>
          <cell r="R85">
            <v>91.71699514534885</v>
          </cell>
          <cell r="S85">
            <v>132.82264264534882</v>
          </cell>
          <cell r="T85">
            <v>163.65187827034885</v>
          </cell>
          <cell r="U85">
            <v>194.48111389534884</v>
          </cell>
          <cell r="V85">
            <v>215.03393764534883</v>
          </cell>
        </row>
        <row r="99">
          <cell r="F99">
            <v>3800</v>
          </cell>
          <cell r="G99">
            <v>4000</v>
          </cell>
          <cell r="H99">
            <v>4200</v>
          </cell>
          <cell r="I99">
            <v>4500</v>
          </cell>
          <cell r="J99">
            <v>4800</v>
          </cell>
          <cell r="R99">
            <v>3800</v>
          </cell>
          <cell r="S99">
            <v>4000</v>
          </cell>
          <cell r="T99">
            <v>4200</v>
          </cell>
          <cell r="U99">
            <v>4500</v>
          </cell>
          <cell r="V99">
            <v>4800</v>
          </cell>
        </row>
        <row r="128">
          <cell r="R128">
            <v>-2.592482999999987</v>
          </cell>
          <cell r="S128">
            <v>2.6268599999999935</v>
          </cell>
          <cell r="T128">
            <v>7.846203000000031</v>
          </cell>
          <cell r="U128">
            <v>15.675217500000002</v>
          </cell>
          <cell r="V128">
            <v>23.504232000000002</v>
          </cell>
        </row>
        <row r="129">
          <cell r="F129">
            <v>27.41801700000002</v>
          </cell>
          <cell r="G129">
            <v>34.21686</v>
          </cell>
          <cell r="H129">
            <v>41.015703</v>
          </cell>
          <cell r="I129">
            <v>51.213967500000024</v>
          </cell>
          <cell r="J129">
            <v>61.41223200000002</v>
          </cell>
        </row>
        <row r="140">
          <cell r="F140">
            <v>1400</v>
          </cell>
          <cell r="G140">
            <v>1500</v>
          </cell>
          <cell r="H140">
            <v>1650</v>
          </cell>
          <cell r="I140">
            <v>1800</v>
          </cell>
          <cell r="J140">
            <v>2500</v>
          </cell>
        </row>
        <row r="142">
          <cell r="R142">
            <v>1000</v>
          </cell>
          <cell r="S142">
            <v>1200</v>
          </cell>
          <cell r="T142">
            <v>1500</v>
          </cell>
          <cell r="U142">
            <v>1800</v>
          </cell>
          <cell r="V142">
            <v>2100</v>
          </cell>
        </row>
        <row r="168">
          <cell r="F168">
            <v>18.8911085</v>
          </cell>
          <cell r="G168">
            <v>23.81261624999999</v>
          </cell>
          <cell r="H168">
            <v>31.194877875000003</v>
          </cell>
          <cell r="I168">
            <v>38.5771395</v>
          </cell>
          <cell r="J168">
            <v>73.02769375</v>
          </cell>
        </row>
        <row r="170">
          <cell r="R170">
            <v>-16.574680000000015</v>
          </cell>
          <cell r="S170">
            <v>-0.37681600000001936</v>
          </cell>
          <cell r="T170">
            <v>23.91998000000001</v>
          </cell>
          <cell r="U170">
            <v>48.21677600000001</v>
          </cell>
          <cell r="V170">
            <v>72.51357200000001</v>
          </cell>
        </row>
        <row r="182">
          <cell r="F182">
            <v>1300</v>
          </cell>
          <cell r="G182">
            <v>1500</v>
          </cell>
          <cell r="H182">
            <v>1750</v>
          </cell>
          <cell r="I182">
            <v>2000</v>
          </cell>
          <cell r="J182">
            <v>2300</v>
          </cell>
          <cell r="R182">
            <v>800</v>
          </cell>
          <cell r="S182">
            <v>1000</v>
          </cell>
          <cell r="T182">
            <v>1200</v>
          </cell>
          <cell r="U182">
            <v>1400</v>
          </cell>
          <cell r="V182">
            <v>1600</v>
          </cell>
        </row>
        <row r="216">
          <cell r="R216">
            <v>-48.149519999999995</v>
          </cell>
          <cell r="S216">
            <v>-25.383399999999995</v>
          </cell>
          <cell r="T216">
            <v>-2.617279999999994</v>
          </cell>
          <cell r="U216">
            <v>20.148840000000007</v>
          </cell>
          <cell r="V216">
            <v>42.91496000000001</v>
          </cell>
        </row>
        <row r="227">
          <cell r="F227">
            <v>-152.5697715000001</v>
          </cell>
          <cell r="G227">
            <v>-131.70358250000004</v>
          </cell>
          <cell r="H227">
            <v>-105.62084625000006</v>
          </cell>
          <cell r="I227">
            <v>-79.53811000000007</v>
          </cell>
          <cell r="J227">
            <v>-48.23882650000007</v>
          </cell>
        </row>
        <row r="236">
          <cell r="R236">
            <v>4000</v>
          </cell>
          <cell r="S236">
            <v>4250</v>
          </cell>
          <cell r="T236">
            <v>4500</v>
          </cell>
          <cell r="U236">
            <v>4750</v>
          </cell>
          <cell r="V236">
            <v>5000</v>
          </cell>
        </row>
        <row r="237">
          <cell r="F237">
            <v>3500</v>
          </cell>
          <cell r="G237">
            <v>3800</v>
          </cell>
          <cell r="H237">
            <v>4000</v>
          </cell>
          <cell r="I237">
            <v>4250</v>
          </cell>
          <cell r="J237">
            <v>4750</v>
          </cell>
        </row>
        <row r="267">
          <cell r="F267">
            <v>7.217839999999995</v>
          </cell>
          <cell r="G267">
            <v>17.742512000000033</v>
          </cell>
          <cell r="H267">
            <v>24.758960000000002</v>
          </cell>
          <cell r="I267">
            <v>33.52951999999999</v>
          </cell>
          <cell r="J267">
            <v>51.07064</v>
          </cell>
          <cell r="R267">
            <v>184.23016</v>
          </cell>
          <cell r="S267">
            <v>209.54204500000003</v>
          </cell>
          <cell r="T267">
            <v>234.85393</v>
          </cell>
          <cell r="U267">
            <v>260.165815</v>
          </cell>
          <cell r="V267">
            <v>285.4777</v>
          </cell>
        </row>
      </sheetData>
      <sheetData sheetId="1">
        <row r="9">
          <cell r="A9">
            <v>1</v>
          </cell>
          <cell r="B9" t="str">
            <v>Arado de  Rejas  ( 1º pasada )</v>
          </cell>
          <cell r="C9">
            <v>1</v>
          </cell>
        </row>
        <row r="10">
          <cell r="A10">
            <v>2</v>
          </cell>
          <cell r="B10" t="str">
            <v>Arado de  Rejas  ( 2º pasada )</v>
          </cell>
          <cell r="C10">
            <v>0.95</v>
          </cell>
        </row>
        <row r="11">
          <cell r="A11">
            <v>3</v>
          </cell>
          <cell r="B11" t="str">
            <v>Rastra Exentrica Pesada</v>
          </cell>
          <cell r="C11">
            <v>0.9</v>
          </cell>
        </row>
        <row r="12">
          <cell r="A12">
            <v>4</v>
          </cell>
          <cell r="B12" t="str">
            <v>Disco Doble Acción Descencontrado (Pesado)</v>
          </cell>
          <cell r="C12">
            <v>0.8</v>
          </cell>
        </row>
        <row r="13">
          <cell r="A13">
            <v>5</v>
          </cell>
          <cell r="B13" t="str">
            <v>Disco Doble Acción</v>
          </cell>
          <cell r="C13">
            <v>0.5</v>
          </cell>
        </row>
        <row r="14">
          <cell r="A14">
            <v>6</v>
          </cell>
          <cell r="B14" t="str">
            <v>Disco Doble Acción más Rastra de Dientes</v>
          </cell>
          <cell r="C14">
            <v>0.65</v>
          </cell>
        </row>
        <row r="15">
          <cell r="A15">
            <v>7</v>
          </cell>
          <cell r="B15" t="str">
            <v>Cincel  ( 1º Pasada )</v>
          </cell>
          <cell r="C15">
            <v>0.95</v>
          </cell>
        </row>
        <row r="16">
          <cell r="A16">
            <v>8</v>
          </cell>
          <cell r="B16" t="str">
            <v>Cincel  ( 2º  Pasada )</v>
          </cell>
          <cell r="C16">
            <v>0.8</v>
          </cell>
        </row>
        <row r="17">
          <cell r="A17">
            <v>9</v>
          </cell>
          <cell r="B17" t="str">
            <v>Cincel con Peines  ( 1º Pasada )</v>
          </cell>
          <cell r="C17">
            <v>1</v>
          </cell>
        </row>
        <row r="18">
          <cell r="A18">
            <v>10</v>
          </cell>
          <cell r="B18" t="str">
            <v>Cincel con Peines  ( 2º Pasada )</v>
          </cell>
          <cell r="C18">
            <v>0.85</v>
          </cell>
        </row>
        <row r="19">
          <cell r="A19">
            <v>11</v>
          </cell>
          <cell r="B19" t="str">
            <v>Cultivador de Campo</v>
          </cell>
          <cell r="C19">
            <v>0.45</v>
          </cell>
        </row>
        <row r="20">
          <cell r="A20">
            <v>12</v>
          </cell>
          <cell r="B20" t="str">
            <v>Vibrocultador</v>
          </cell>
          <cell r="C20">
            <v>0.45</v>
          </cell>
        </row>
        <row r="21">
          <cell r="A21">
            <v>13</v>
          </cell>
          <cell r="B21" t="str">
            <v>Rastra de Dientes</v>
          </cell>
          <cell r="C21">
            <v>0.25</v>
          </cell>
        </row>
        <row r="22">
          <cell r="A22">
            <v>14</v>
          </cell>
          <cell r="B22" t="str">
            <v>Rastra de Dientes más Rabasto Liviano</v>
          </cell>
          <cell r="C22">
            <v>0.3</v>
          </cell>
        </row>
        <row r="23">
          <cell r="A23">
            <v>15</v>
          </cell>
          <cell r="B23" t="str">
            <v>Rabasto Nivelador Pesado</v>
          </cell>
          <cell r="C23">
            <v>0.7</v>
          </cell>
        </row>
        <row r="24">
          <cell r="A24">
            <v>16</v>
          </cell>
          <cell r="B24" t="str">
            <v>Siembra Gruesa Convencional</v>
          </cell>
          <cell r="C24">
            <v>0.45</v>
          </cell>
        </row>
        <row r="25">
          <cell r="A25">
            <v>17</v>
          </cell>
          <cell r="B25" t="str">
            <v>Siembra Gruesa Conv- más Inoculación</v>
          </cell>
          <cell r="C25">
            <v>0.5</v>
          </cell>
        </row>
        <row r="26">
          <cell r="A26">
            <v>18</v>
          </cell>
          <cell r="B26" t="str">
            <v>Siembra Gruesa - Labranza Cero</v>
          </cell>
          <cell r="C26">
            <v>0.65</v>
          </cell>
        </row>
        <row r="27">
          <cell r="A27">
            <v>19</v>
          </cell>
          <cell r="B27" t="str">
            <v>Rastra Rotativa</v>
          </cell>
          <cell r="C27">
            <v>0.3</v>
          </cell>
        </row>
        <row r="28">
          <cell r="A28">
            <v>20</v>
          </cell>
          <cell r="B28" t="str">
            <v>Escardillo</v>
          </cell>
          <cell r="C28">
            <v>0.4</v>
          </cell>
        </row>
        <row r="29">
          <cell r="A29">
            <v>21</v>
          </cell>
          <cell r="B29" t="str">
            <v>Siembra Fina</v>
          </cell>
          <cell r="C29">
            <v>0.6</v>
          </cell>
        </row>
        <row r="30">
          <cell r="A30">
            <v>22</v>
          </cell>
          <cell r="B30" t="str">
            <v>Pulverización Terrestre p/Herbicidas y Defoliantes</v>
          </cell>
          <cell r="C30">
            <v>0.25</v>
          </cell>
        </row>
        <row r="31">
          <cell r="A31">
            <v>23</v>
          </cell>
          <cell r="B31" t="str">
            <v>Pulverización Terrestre p/Insecticidas</v>
          </cell>
          <cell r="C31">
            <v>0.3</v>
          </cell>
        </row>
        <row r="32">
          <cell r="A32">
            <v>24</v>
          </cell>
          <cell r="B32" t="str">
            <v>Desmalezadora</v>
          </cell>
          <cell r="C32">
            <v>0.4</v>
          </cell>
        </row>
        <row r="33">
          <cell r="A33">
            <v>25</v>
          </cell>
          <cell r="B33" t="str">
            <v>Rolo Desterronador - Compactador</v>
          </cell>
          <cell r="C33">
            <v>0.3</v>
          </cell>
        </row>
        <row r="34">
          <cell r="A34">
            <v>26</v>
          </cell>
          <cell r="B34" t="str">
            <v>Aplicacion Fertilizante al Voleo </v>
          </cell>
          <cell r="C34">
            <v>0.25</v>
          </cell>
        </row>
        <row r="35">
          <cell r="A35">
            <v>27</v>
          </cell>
          <cell r="B35" t="str">
            <v>Trituradora Rastrojos</v>
          </cell>
          <cell r="C35">
            <v>0.5</v>
          </cell>
        </row>
        <row r="36">
          <cell r="A36">
            <v>28</v>
          </cell>
          <cell r="B36" t="str">
            <v>Pulverizacion Herbicidas POED (Tipo Redball)</v>
          </cell>
          <cell r="C36">
            <v>0.5</v>
          </cell>
        </row>
        <row r="37">
          <cell r="A37">
            <v>29</v>
          </cell>
          <cell r="B37" t="str">
            <v>Pulverizacion aérea</v>
          </cell>
          <cell r="C37">
            <v>0.6</v>
          </cell>
        </row>
        <row r="38">
          <cell r="A38">
            <v>30</v>
          </cell>
          <cell r="B38" t="str">
            <v>Aplicacion Fertilizante con avión</v>
          </cell>
          <cell r="C38">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CIONES"/>
      <sheetName val="Hoja2"/>
      <sheetName val="Hoja3"/>
    </sheetNames>
    <sheetDataSet>
      <sheetData sheetId="0">
        <row r="12">
          <cell r="C12" t="str">
            <v>Sin Cubrir</v>
          </cell>
          <cell r="D12" t="str">
            <v>Futuro</v>
          </cell>
          <cell r="E12" t="str">
            <v>PUT</v>
          </cell>
          <cell r="M12" t="str">
            <v>Sin Cubrir</v>
          </cell>
          <cell r="N12" t="str">
            <v>Futuro</v>
          </cell>
          <cell r="O12" t="str">
            <v>CALL</v>
          </cell>
        </row>
        <row r="13">
          <cell r="B13">
            <v>120</v>
          </cell>
          <cell r="C13">
            <v>120</v>
          </cell>
          <cell r="D13">
            <v>130</v>
          </cell>
          <cell r="E13">
            <v>125</v>
          </cell>
          <cell r="L13">
            <v>120</v>
          </cell>
          <cell r="M13">
            <v>120</v>
          </cell>
          <cell r="N13">
            <v>130</v>
          </cell>
          <cell r="O13">
            <v>125</v>
          </cell>
        </row>
        <row r="14">
          <cell r="B14">
            <v>122</v>
          </cell>
          <cell r="C14">
            <v>122</v>
          </cell>
          <cell r="D14">
            <v>130</v>
          </cell>
          <cell r="E14">
            <v>125</v>
          </cell>
          <cell r="L14">
            <v>122</v>
          </cell>
          <cell r="M14">
            <v>122</v>
          </cell>
          <cell r="N14">
            <v>130</v>
          </cell>
          <cell r="O14">
            <v>127</v>
          </cell>
        </row>
        <row r="15">
          <cell r="B15">
            <v>124</v>
          </cell>
          <cell r="C15">
            <v>124</v>
          </cell>
          <cell r="D15">
            <v>130</v>
          </cell>
          <cell r="E15">
            <v>125</v>
          </cell>
          <cell r="L15">
            <v>124</v>
          </cell>
          <cell r="M15">
            <v>124</v>
          </cell>
          <cell r="N15">
            <v>130</v>
          </cell>
          <cell r="O15">
            <v>129</v>
          </cell>
        </row>
        <row r="16">
          <cell r="B16">
            <v>126</v>
          </cell>
          <cell r="C16">
            <v>126</v>
          </cell>
          <cell r="D16">
            <v>130</v>
          </cell>
          <cell r="E16">
            <v>125</v>
          </cell>
          <cell r="L16">
            <v>126</v>
          </cell>
          <cell r="M16">
            <v>126</v>
          </cell>
          <cell r="N16">
            <v>130</v>
          </cell>
          <cell r="O16">
            <v>131</v>
          </cell>
        </row>
        <row r="17">
          <cell r="B17">
            <v>128</v>
          </cell>
          <cell r="C17">
            <v>128</v>
          </cell>
          <cell r="D17">
            <v>130</v>
          </cell>
          <cell r="E17">
            <v>125</v>
          </cell>
          <cell r="L17">
            <v>128</v>
          </cell>
          <cell r="M17">
            <v>128</v>
          </cell>
          <cell r="N17">
            <v>130</v>
          </cell>
          <cell r="O17">
            <v>133</v>
          </cell>
        </row>
        <row r="18">
          <cell r="B18">
            <v>130</v>
          </cell>
          <cell r="C18">
            <v>130</v>
          </cell>
          <cell r="D18">
            <v>130</v>
          </cell>
          <cell r="E18">
            <v>125</v>
          </cell>
          <cell r="L18">
            <v>130</v>
          </cell>
          <cell r="M18">
            <v>130</v>
          </cell>
          <cell r="N18">
            <v>130</v>
          </cell>
          <cell r="O18">
            <v>135</v>
          </cell>
        </row>
        <row r="19">
          <cell r="B19">
            <v>132</v>
          </cell>
          <cell r="C19">
            <v>132</v>
          </cell>
          <cell r="D19">
            <v>130</v>
          </cell>
          <cell r="E19">
            <v>127</v>
          </cell>
          <cell r="L19">
            <v>132</v>
          </cell>
          <cell r="M19">
            <v>132</v>
          </cell>
          <cell r="N19">
            <v>130</v>
          </cell>
          <cell r="O19">
            <v>135</v>
          </cell>
        </row>
        <row r="20">
          <cell r="B20">
            <v>134</v>
          </cell>
          <cell r="C20">
            <v>134</v>
          </cell>
          <cell r="D20">
            <v>130</v>
          </cell>
          <cell r="E20">
            <v>129</v>
          </cell>
          <cell r="L20">
            <v>134</v>
          </cell>
          <cell r="M20">
            <v>134</v>
          </cell>
          <cell r="N20">
            <v>130</v>
          </cell>
          <cell r="O20">
            <v>135</v>
          </cell>
        </row>
        <row r="21">
          <cell r="B21">
            <v>136</v>
          </cell>
          <cell r="C21">
            <v>136</v>
          </cell>
          <cell r="D21">
            <v>130</v>
          </cell>
          <cell r="E21">
            <v>131</v>
          </cell>
          <cell r="L21">
            <v>136</v>
          </cell>
          <cell r="M21">
            <v>136</v>
          </cell>
          <cell r="N21">
            <v>130</v>
          </cell>
          <cell r="O21">
            <v>135</v>
          </cell>
        </row>
        <row r="22">
          <cell r="B22">
            <v>138</v>
          </cell>
          <cell r="C22">
            <v>138</v>
          </cell>
          <cell r="D22">
            <v>130</v>
          </cell>
          <cell r="E22">
            <v>133</v>
          </cell>
          <cell r="L22">
            <v>138</v>
          </cell>
          <cell r="M22">
            <v>138</v>
          </cell>
          <cell r="N22">
            <v>130</v>
          </cell>
          <cell r="O22">
            <v>135</v>
          </cell>
        </row>
        <row r="23">
          <cell r="B23">
            <v>140</v>
          </cell>
          <cell r="C23">
            <v>140</v>
          </cell>
          <cell r="D23">
            <v>130</v>
          </cell>
          <cell r="E23">
            <v>135</v>
          </cell>
          <cell r="L23">
            <v>140</v>
          </cell>
          <cell r="M23">
            <v>140</v>
          </cell>
          <cell r="N23">
            <v>130</v>
          </cell>
          <cell r="O23">
            <v>135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STOS C."/>
      <sheetName val="COSTOS M."/>
      <sheetName val="COEFICIENTES"/>
      <sheetName val="UTA"/>
      <sheetName val="R. UTA."/>
    </sheetNames>
    <sheetDataSet>
      <sheetData sheetId="0">
        <row r="9">
          <cell r="D9">
            <v>38.5</v>
          </cell>
          <cell r="F9" t="str">
            <v>    Semilla  70 Kgr/Has.( incluye resiembra) </v>
          </cell>
          <cell r="I9">
            <v>31.5</v>
          </cell>
        </row>
        <row r="10">
          <cell r="D10">
            <v>37.5</v>
          </cell>
          <cell r="F10" t="str">
            <v>    Herbicida ROUND UP 5 LTS/HA.</v>
          </cell>
          <cell r="I10">
            <v>24</v>
          </cell>
        </row>
        <row r="11">
          <cell r="D11">
            <v>15.3</v>
          </cell>
          <cell r="F11" t="str">
            <v>    Insecticida Endolsulfan  (2 Trat.por 0,90 Lt. / Has.)</v>
          </cell>
          <cell r="I11">
            <v>11.700000000000001</v>
          </cell>
        </row>
        <row r="12">
          <cell r="D12">
            <v>1.5</v>
          </cell>
          <cell r="F12" t="str">
            <v>    Insecticida Cipermetrina    (1 Trat. por 0,06 Lts / Has.) </v>
          </cell>
          <cell r="I12">
            <v>1.26</v>
          </cell>
        </row>
        <row r="13">
          <cell r="D13">
            <v>0.25</v>
          </cell>
          <cell r="F13" t="str">
            <v>    Inoculante  ( p/80 kgs. Semilla)</v>
          </cell>
          <cell r="I13">
            <v>0.19</v>
          </cell>
        </row>
        <row r="36">
          <cell r="D36">
            <v>15.400000000000002</v>
          </cell>
          <cell r="F36" t="str">
            <v>    Semilla  7 Kgr/Has.( incluye resiembra) </v>
          </cell>
          <cell r="I36">
            <v>12.6</v>
          </cell>
        </row>
        <row r="37">
          <cell r="D37">
            <v>15</v>
          </cell>
          <cell r="F37" t="str">
            <v>    Herbicida Round up 2lts/ha</v>
          </cell>
          <cell r="I37">
            <v>9.6</v>
          </cell>
        </row>
        <row r="38">
          <cell r="D38">
            <v>1.26</v>
          </cell>
          <cell r="F38" t="str">
            <v>    Insecticida Cipermetrina    (1 Trat. por 0,06 Lts / Has.) </v>
          </cell>
          <cell r="I38">
            <v>1.08</v>
          </cell>
        </row>
        <row r="39">
          <cell r="D39">
            <v>48</v>
          </cell>
          <cell r="F39" t="str">
            <v>    Atrazina 5 lts/ha</v>
          </cell>
          <cell r="I39">
            <v>36</v>
          </cell>
        </row>
        <row r="65">
          <cell r="D65">
            <v>14</v>
          </cell>
          <cell r="F65" t="str">
            <v>    Semilla  0,4 Kgr/Has.( incluye resiembra) </v>
          </cell>
          <cell r="I65">
            <v>12.8</v>
          </cell>
        </row>
        <row r="66">
          <cell r="D66">
            <v>9</v>
          </cell>
          <cell r="F66" t="str">
            <v>    Herbicida Trifluralinalt 5 lts/ha</v>
          </cell>
          <cell r="I66">
            <v>7.25</v>
          </cell>
        </row>
        <row r="67">
          <cell r="D67">
            <v>35.2</v>
          </cell>
          <cell r="F67" t="str">
            <v>    Fertilizante Fosf-Diam-PSI</v>
          </cell>
          <cell r="I67">
            <v>33.44</v>
          </cell>
        </row>
        <row r="68">
          <cell r="D68">
            <v>26.6</v>
          </cell>
          <cell r="F68" t="str">
            <v>    Fertilizante Urea - POE</v>
          </cell>
          <cell r="I68">
            <v>25.84</v>
          </cell>
        </row>
        <row r="69">
          <cell r="D69">
            <v>4.8</v>
          </cell>
          <cell r="F69" t="str">
            <v>    Insecticida Monocrotofos ( Chinches 1 Trat.) </v>
          </cell>
          <cell r="I69">
            <v>3.6</v>
          </cell>
        </row>
        <row r="70">
          <cell r="D70">
            <v>3.28</v>
          </cell>
          <cell r="F70" t="str">
            <v>    Dimetoato 50% (pulgones - Trips) 2 Trat. X 0,4 lts</v>
          </cell>
          <cell r="I70">
            <v>3.04</v>
          </cell>
        </row>
        <row r="71">
          <cell r="D71">
            <v>10.2</v>
          </cell>
          <cell r="F71" t="str">
            <v>    Insecticida Decis (Cap-Lag-Def.) 2 Trat.</v>
          </cell>
          <cell r="I71">
            <v>9</v>
          </cell>
        </row>
        <row r="72">
          <cell r="D72">
            <v>1.25</v>
          </cell>
          <cell r="F72" t="str">
            <v>    Humectante - 5 Trat. X 0,1 Lt/ha.</v>
          </cell>
          <cell r="I72">
            <v>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R. B."/>
      <sheetName val="EQ. UTA"/>
      <sheetName val="SENSIB."/>
      <sheetName val="costos comp."/>
      <sheetName val="cria"/>
      <sheetName val="invern"/>
      <sheetName val="costos"/>
      <sheetName val="MARG. N."/>
      <sheetName val="MB PRACT."/>
      <sheetName val="coef."/>
      <sheetName val="t. disp."/>
      <sheetName val="t. req."/>
    </sheetNames>
    <sheetDataSet>
      <sheetData sheetId="1">
        <row r="9">
          <cell r="A9">
            <v>1</v>
          </cell>
          <cell r="B9" t="str">
            <v>Arado de  Rejas  ( 1º pasada )</v>
          </cell>
          <cell r="C9">
            <v>1</v>
          </cell>
        </row>
        <row r="10">
          <cell r="A10">
            <v>2</v>
          </cell>
          <cell r="B10" t="str">
            <v>Arado de  Rejas  ( 2º pasada )</v>
          </cell>
          <cell r="C10">
            <v>0.95</v>
          </cell>
        </row>
        <row r="11">
          <cell r="A11">
            <v>3</v>
          </cell>
          <cell r="B11" t="str">
            <v>Rastra Exentrica Pesada</v>
          </cell>
          <cell r="C11">
            <v>0.9</v>
          </cell>
        </row>
        <row r="12">
          <cell r="A12">
            <v>4</v>
          </cell>
          <cell r="B12" t="str">
            <v>Disco Doble Acción Descencontrado (Pesado)</v>
          </cell>
          <cell r="C12">
            <v>0.8</v>
          </cell>
        </row>
        <row r="13">
          <cell r="A13">
            <v>5</v>
          </cell>
          <cell r="B13" t="str">
            <v>Disco Doble Acción</v>
          </cell>
          <cell r="C13">
            <v>0.5</v>
          </cell>
        </row>
        <row r="14">
          <cell r="A14">
            <v>6</v>
          </cell>
          <cell r="B14" t="str">
            <v>Disco Doble Acción más Rastra de Dientes</v>
          </cell>
          <cell r="C14">
            <v>0.65</v>
          </cell>
        </row>
        <row r="15">
          <cell r="A15">
            <v>7</v>
          </cell>
          <cell r="B15" t="str">
            <v>Cincel  ( 1º Pasada )</v>
          </cell>
          <cell r="C15">
            <v>0.95</v>
          </cell>
        </row>
        <row r="16">
          <cell r="A16">
            <v>8</v>
          </cell>
          <cell r="B16" t="str">
            <v>Cincel  ( 2º  Pasada )</v>
          </cell>
          <cell r="C16">
            <v>0.8</v>
          </cell>
        </row>
        <row r="17">
          <cell r="A17">
            <v>9</v>
          </cell>
          <cell r="B17" t="str">
            <v>Cincel con Peines  ( 1º Pasada )</v>
          </cell>
          <cell r="C17">
            <v>1</v>
          </cell>
        </row>
        <row r="18">
          <cell r="A18">
            <v>10</v>
          </cell>
          <cell r="B18" t="str">
            <v>Cincel con Peines  ( 2º Pasada )</v>
          </cell>
          <cell r="C18">
            <v>0.85</v>
          </cell>
        </row>
        <row r="19">
          <cell r="A19">
            <v>11</v>
          </cell>
          <cell r="B19" t="str">
            <v>Cultivador de Campo</v>
          </cell>
          <cell r="C19">
            <v>0.45</v>
          </cell>
        </row>
        <row r="20">
          <cell r="A20">
            <v>12</v>
          </cell>
          <cell r="B20" t="str">
            <v>Vibrocultador</v>
          </cell>
          <cell r="C20">
            <v>0.45</v>
          </cell>
        </row>
        <row r="21">
          <cell r="A21">
            <v>13</v>
          </cell>
          <cell r="B21" t="str">
            <v>Rastra de Dientes</v>
          </cell>
          <cell r="C21">
            <v>0.25</v>
          </cell>
        </row>
        <row r="22">
          <cell r="A22">
            <v>14</v>
          </cell>
          <cell r="B22" t="str">
            <v>Rastra de Dientes más Rabasto Liviano</v>
          </cell>
          <cell r="C22">
            <v>0.3</v>
          </cell>
        </row>
        <row r="23">
          <cell r="A23">
            <v>15</v>
          </cell>
          <cell r="B23" t="str">
            <v>Rabasto Nivelador Pesado</v>
          </cell>
          <cell r="C23">
            <v>0.7</v>
          </cell>
        </row>
        <row r="24">
          <cell r="A24">
            <v>16</v>
          </cell>
          <cell r="B24" t="str">
            <v>Siembra Gruesa Convencional</v>
          </cell>
          <cell r="C24">
            <v>0.45</v>
          </cell>
        </row>
        <row r="25">
          <cell r="A25">
            <v>17</v>
          </cell>
          <cell r="B25" t="str">
            <v>Siembra Gruesa Conv- más Inoculación</v>
          </cell>
          <cell r="C25">
            <v>0.5</v>
          </cell>
        </row>
        <row r="26">
          <cell r="A26">
            <v>18</v>
          </cell>
          <cell r="B26" t="str">
            <v>Siembra Gruesa - Labranza Cero</v>
          </cell>
          <cell r="C26">
            <v>0.65</v>
          </cell>
        </row>
        <row r="27">
          <cell r="A27">
            <v>19</v>
          </cell>
          <cell r="B27" t="str">
            <v>Rastra Rotativa</v>
          </cell>
          <cell r="C27">
            <v>0.3</v>
          </cell>
        </row>
        <row r="28">
          <cell r="A28">
            <v>20</v>
          </cell>
          <cell r="B28" t="str">
            <v>Escardillo</v>
          </cell>
          <cell r="C28">
            <v>0.4</v>
          </cell>
        </row>
        <row r="29">
          <cell r="A29">
            <v>21</v>
          </cell>
          <cell r="B29" t="str">
            <v>Siembra Fina</v>
          </cell>
          <cell r="C29">
            <v>0.6</v>
          </cell>
        </row>
        <row r="30">
          <cell r="A30">
            <v>22</v>
          </cell>
          <cell r="B30" t="str">
            <v>Pulverización Terrestre p/Herbicidas y Defoliantes</v>
          </cell>
          <cell r="C30">
            <v>0.25</v>
          </cell>
        </row>
        <row r="31">
          <cell r="A31">
            <v>23</v>
          </cell>
          <cell r="B31" t="str">
            <v>Pulverización Terrestre p/Insecticidas</v>
          </cell>
          <cell r="C31">
            <v>0.3</v>
          </cell>
        </row>
        <row r="32">
          <cell r="A32">
            <v>24</v>
          </cell>
          <cell r="B32" t="str">
            <v>Desmalezadora</v>
          </cell>
          <cell r="C32">
            <v>0.4</v>
          </cell>
        </row>
        <row r="33">
          <cell r="A33">
            <v>25</v>
          </cell>
          <cell r="B33" t="str">
            <v>Rolo Desterronador - Compactador</v>
          </cell>
          <cell r="C33">
            <v>0.3</v>
          </cell>
        </row>
        <row r="34">
          <cell r="A34">
            <v>26</v>
          </cell>
          <cell r="B34" t="str">
            <v>Aplicacion Fertilizante al Voleo </v>
          </cell>
          <cell r="C34">
            <v>0.25</v>
          </cell>
        </row>
        <row r="35">
          <cell r="A35">
            <v>27</v>
          </cell>
          <cell r="B35" t="str">
            <v>Trituradora Rastrojos</v>
          </cell>
          <cell r="C35">
            <v>0.5</v>
          </cell>
        </row>
        <row r="36">
          <cell r="A36">
            <v>28</v>
          </cell>
          <cell r="B36" t="str">
            <v>Pulverizacion Herbicidas POED (Tipo Redball)</v>
          </cell>
          <cell r="C36">
            <v>0.5</v>
          </cell>
        </row>
        <row r="37">
          <cell r="A37">
            <v>29</v>
          </cell>
          <cell r="B37" t="str">
            <v>Pulverizacion aérea</v>
          </cell>
          <cell r="C37">
            <v>0.6</v>
          </cell>
        </row>
        <row r="38">
          <cell r="A38">
            <v>30</v>
          </cell>
          <cell r="B38" t="str">
            <v>Aplicacion Fertilizante con avión</v>
          </cell>
          <cell r="C38">
            <v>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STOS C."/>
      <sheetName val="MAR. B."/>
      <sheetName val="OP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318"/>
  <sheetViews>
    <sheetView showGridLines="0" zoomScalePageLayoutView="0" workbookViewId="0" topLeftCell="A1">
      <selection activeCell="F14" sqref="F14"/>
    </sheetView>
  </sheetViews>
  <sheetFormatPr defaultColWidth="11.421875" defaultRowHeight="12.75"/>
  <cols>
    <col min="1" max="1" width="18.8515625" style="0" customWidth="1"/>
    <col min="2" max="2" width="18.57421875" style="0" customWidth="1"/>
    <col min="3" max="3" width="16.28125" style="0" customWidth="1"/>
    <col min="4" max="4" width="14.00390625" style="0" customWidth="1"/>
    <col min="5" max="5" width="12.421875" style="0" bestFit="1" customWidth="1"/>
  </cols>
  <sheetData>
    <row r="1" spans="1:5" ht="18">
      <c r="A1" s="1088" t="s">
        <v>528</v>
      </c>
      <c r="B1" s="1088"/>
      <c r="C1" s="1088"/>
      <c r="D1" s="1088"/>
      <c r="E1" s="1088"/>
    </row>
    <row r="2" spans="1:7" ht="12.75">
      <c r="A2" s="65"/>
      <c r="B2" s="65"/>
      <c r="C2" s="65"/>
      <c r="D2" s="65"/>
      <c r="E2" s="65"/>
      <c r="F2" s="65"/>
      <c r="G2" s="65"/>
    </row>
    <row r="3" spans="1:7" ht="15.75">
      <c r="A3" s="66" t="s">
        <v>529</v>
      </c>
      <c r="B3" s="66"/>
      <c r="C3" s="66"/>
      <c r="D3" s="66"/>
      <c r="E3" s="66"/>
      <c r="F3" s="66"/>
      <c r="G3" s="66"/>
    </row>
    <row r="4" spans="1:7" ht="15.75">
      <c r="A4" s="66" t="s">
        <v>699</v>
      </c>
      <c r="B4" s="66"/>
      <c r="C4" s="66"/>
      <c r="D4" s="66"/>
      <c r="E4" s="66"/>
      <c r="F4" s="66"/>
      <c r="G4" s="66"/>
    </row>
    <row r="5" spans="1:7" ht="15.75">
      <c r="A5" s="66" t="s">
        <v>700</v>
      </c>
      <c r="B5" s="66"/>
      <c r="C5" s="66"/>
      <c r="D5" s="66"/>
      <c r="E5" s="66"/>
      <c r="F5" s="83"/>
      <c r="G5" s="66"/>
    </row>
    <row r="6" spans="1:7" ht="16.5" thickBot="1">
      <c r="A6" s="65"/>
      <c r="B6" s="66"/>
      <c r="C6" s="66"/>
      <c r="D6" s="66"/>
      <c r="E6" s="66"/>
      <c r="F6" s="66"/>
      <c r="G6" s="66"/>
    </row>
    <row r="7" spans="1:7" ht="20.25" thickBot="1">
      <c r="A7" s="1093" t="s">
        <v>530</v>
      </c>
      <c r="B7" s="1094"/>
      <c r="C7" s="1094"/>
      <c r="D7" s="1094"/>
      <c r="E7" s="1095"/>
      <c r="F7" s="66"/>
      <c r="G7" s="66"/>
    </row>
    <row r="8" spans="1:7" ht="19.5" thickBot="1">
      <c r="A8" s="1090" t="s">
        <v>701</v>
      </c>
      <c r="B8" s="1091"/>
      <c r="C8" s="1092"/>
      <c r="D8" s="89" t="s">
        <v>531</v>
      </c>
      <c r="E8" s="90" t="s">
        <v>532</v>
      </c>
      <c r="F8" s="66"/>
      <c r="G8" s="66"/>
    </row>
    <row r="9" spans="1:7" ht="15.75">
      <c r="A9" s="84" t="s">
        <v>534</v>
      </c>
      <c r="B9" s="85"/>
      <c r="C9" s="86"/>
      <c r="D9" s="87" t="s">
        <v>533</v>
      </c>
      <c r="E9" s="88"/>
      <c r="F9" s="66"/>
      <c r="G9" s="66"/>
    </row>
    <row r="10" spans="1:7" ht="15.75">
      <c r="A10" s="68" t="s">
        <v>536</v>
      </c>
      <c r="B10" s="69"/>
      <c r="C10" s="70"/>
      <c r="D10" s="71" t="s">
        <v>533</v>
      </c>
      <c r="E10" s="72"/>
      <c r="F10" s="66"/>
      <c r="G10" s="66"/>
    </row>
    <row r="11" spans="1:7" ht="15.75">
      <c r="A11" s="68" t="s">
        <v>537</v>
      </c>
      <c r="B11" s="69"/>
      <c r="C11" s="70"/>
      <c r="D11" s="71" t="s">
        <v>538</v>
      </c>
      <c r="E11" s="72"/>
      <c r="F11" s="66"/>
      <c r="G11" s="65"/>
    </row>
    <row r="12" spans="1:7" ht="15.75">
      <c r="A12" s="68" t="s">
        <v>539</v>
      </c>
      <c r="B12" s="69"/>
      <c r="C12" s="70"/>
      <c r="D12" s="73" t="s">
        <v>695</v>
      </c>
      <c r="E12" s="74"/>
      <c r="F12" s="66"/>
      <c r="G12" s="66"/>
    </row>
    <row r="13" spans="1:7" ht="15.75">
      <c r="A13" s="66"/>
      <c r="B13" s="66"/>
      <c r="C13" s="66"/>
      <c r="D13" s="75"/>
      <c r="E13" s="76"/>
      <c r="F13" s="66"/>
      <c r="G13" s="66"/>
    </row>
    <row r="14" spans="1:7" ht="15.75">
      <c r="A14" s="65"/>
      <c r="B14" s="77" t="s">
        <v>541</v>
      </c>
      <c r="C14" s="66"/>
      <c r="D14" s="75"/>
      <c r="E14" s="76"/>
      <c r="F14" s="66"/>
      <c r="G14" s="66"/>
    </row>
    <row r="15" spans="1:7" ht="15.75">
      <c r="A15" s="65"/>
      <c r="B15" s="77" t="s">
        <v>318</v>
      </c>
      <c r="C15" s="66"/>
      <c r="D15" s="75"/>
      <c r="E15" s="76"/>
      <c r="F15" s="66"/>
      <c r="G15" s="66"/>
    </row>
    <row r="16" spans="1:7" ht="15.75">
      <c r="A16" s="65"/>
      <c r="B16" s="77" t="s">
        <v>542</v>
      </c>
      <c r="C16" s="66"/>
      <c r="D16" s="75"/>
      <c r="E16" s="76"/>
      <c r="F16" s="66"/>
      <c r="G16" s="66"/>
    </row>
    <row r="17" spans="1:7" ht="15.75">
      <c r="A17" s="65"/>
      <c r="B17" s="77" t="s">
        <v>319</v>
      </c>
      <c r="C17" s="66"/>
      <c r="D17" s="75"/>
      <c r="E17" s="76"/>
      <c r="F17" s="66"/>
      <c r="G17" s="66"/>
    </row>
    <row r="18" spans="1:7" ht="15.75">
      <c r="A18" s="66"/>
      <c r="B18" s="66" t="s">
        <v>320</v>
      </c>
      <c r="C18" s="66"/>
      <c r="D18" s="66"/>
      <c r="E18" s="66"/>
      <c r="F18" s="66"/>
      <c r="G18" s="66"/>
    </row>
    <row r="19" spans="1:7" ht="15.75">
      <c r="A19" s="66"/>
      <c r="B19" s="66"/>
      <c r="C19" s="66"/>
      <c r="D19" s="66"/>
      <c r="E19" s="66"/>
      <c r="F19" s="66"/>
      <c r="G19" s="66"/>
    </row>
    <row r="20" spans="1:7" ht="16.5" thickBot="1">
      <c r="A20" s="78" t="s">
        <v>702</v>
      </c>
      <c r="B20" s="66"/>
      <c r="C20" s="66"/>
      <c r="D20" s="66"/>
      <c r="E20" s="78" t="s">
        <v>544</v>
      </c>
      <c r="F20" s="66"/>
      <c r="G20" s="66"/>
    </row>
    <row r="21" spans="1:7" ht="16.5" thickBot="1">
      <c r="A21" s="79" t="s">
        <v>545</v>
      </c>
      <c r="B21" s="80"/>
      <c r="C21" s="79">
        <v>3</v>
      </c>
      <c r="D21" s="80" t="s">
        <v>546</v>
      </c>
      <c r="E21" s="79">
        <v>23</v>
      </c>
      <c r="F21" s="80" t="s">
        <v>547</v>
      </c>
      <c r="G21" s="66"/>
    </row>
    <row r="22" spans="1:7" ht="16.5" thickBot="1">
      <c r="A22" s="66"/>
      <c r="B22" s="66"/>
      <c r="C22" s="66"/>
      <c r="D22" s="66"/>
      <c r="E22" s="66"/>
      <c r="F22" s="66"/>
      <c r="G22" s="66"/>
    </row>
    <row r="23" spans="1:7" ht="16.5" thickBot="1">
      <c r="A23" s="91" t="s">
        <v>703</v>
      </c>
      <c r="B23" s="92">
        <v>0.1</v>
      </c>
      <c r="C23" s="82" t="s">
        <v>549</v>
      </c>
      <c r="D23" s="82"/>
      <c r="E23" s="80"/>
      <c r="F23" s="66"/>
      <c r="G23" s="66"/>
    </row>
    <row r="24" spans="1:7" ht="15.75">
      <c r="A24" s="66"/>
      <c r="B24" s="66"/>
      <c r="C24" s="66"/>
      <c r="D24" s="66"/>
      <c r="E24" s="66"/>
      <c r="F24" s="66"/>
      <c r="G24" s="66"/>
    </row>
    <row r="25" spans="1:7" ht="15.75">
      <c r="A25" s="78" t="s">
        <v>704</v>
      </c>
      <c r="B25" s="66"/>
      <c r="C25" s="66"/>
      <c r="D25" s="66"/>
      <c r="E25" s="66"/>
      <c r="F25" s="66"/>
      <c r="G25" s="66"/>
    </row>
    <row r="26" spans="1:7" ht="15.75">
      <c r="A26" s="66" t="s">
        <v>551</v>
      </c>
      <c r="B26" s="66"/>
      <c r="C26" s="66"/>
      <c r="D26" s="66"/>
      <c r="E26" s="66"/>
      <c r="F26" s="66"/>
      <c r="G26" s="66"/>
    </row>
    <row r="27" spans="1:7" ht="15.75">
      <c r="A27" s="66" t="s">
        <v>552</v>
      </c>
      <c r="B27" s="66"/>
      <c r="C27" s="66"/>
      <c r="D27" s="66"/>
      <c r="E27" s="66"/>
      <c r="F27" s="66"/>
      <c r="G27" s="66"/>
    </row>
    <row r="28" spans="1:7" ht="15.75">
      <c r="A28" s="66" t="s">
        <v>553</v>
      </c>
      <c r="B28" s="66"/>
      <c r="C28" s="66"/>
      <c r="D28" s="66"/>
      <c r="E28" s="66"/>
      <c r="F28" s="66"/>
      <c r="G28" s="66"/>
    </row>
    <row r="29" spans="1:7" ht="16.5" thickBot="1">
      <c r="A29" s="66"/>
      <c r="B29" s="66"/>
      <c r="C29" s="66"/>
      <c r="D29" s="66"/>
      <c r="E29" s="66"/>
      <c r="F29" s="66"/>
      <c r="G29" s="66"/>
    </row>
    <row r="30" spans="1:7" ht="16.5" thickBot="1">
      <c r="A30" s="81" t="s">
        <v>554</v>
      </c>
      <c r="B30" s="82" t="s">
        <v>555</v>
      </c>
      <c r="C30" s="82"/>
      <c r="D30" s="80" t="s">
        <v>556</v>
      </c>
      <c r="E30" s="66"/>
      <c r="F30" s="66"/>
      <c r="G30" s="66"/>
    </row>
    <row r="31" spans="1:7" ht="16.5" thickBot="1">
      <c r="A31" s="81" t="s">
        <v>557</v>
      </c>
      <c r="B31" s="82" t="s">
        <v>558</v>
      </c>
      <c r="C31" s="82"/>
      <c r="D31" s="80" t="s">
        <v>556</v>
      </c>
      <c r="E31" s="66"/>
      <c r="F31" s="66"/>
      <c r="G31" s="66"/>
    </row>
    <row r="32" spans="1:7" ht="15.75">
      <c r="A32" s="93"/>
      <c r="B32" s="67"/>
      <c r="C32" s="67"/>
      <c r="D32" s="67"/>
      <c r="E32" s="66"/>
      <c r="F32" s="66"/>
      <c r="G32" s="66"/>
    </row>
    <row r="33" spans="1:7" ht="20.25">
      <c r="A33" s="94" t="s">
        <v>705</v>
      </c>
      <c r="B33" s="95"/>
      <c r="C33" s="95"/>
      <c r="D33" s="67"/>
      <c r="E33" s="66"/>
      <c r="F33" s="66"/>
      <c r="G33" s="66"/>
    </row>
    <row r="34" spans="1:7" ht="16.5" thickBot="1">
      <c r="A34" s="1"/>
      <c r="B34" s="1"/>
      <c r="C34" s="1"/>
      <c r="D34" s="1"/>
      <c r="E34" s="1"/>
      <c r="F34" s="1"/>
      <c r="G34" s="1"/>
    </row>
    <row r="35" spans="1:7" ht="15.75">
      <c r="A35" s="8" t="s">
        <v>706</v>
      </c>
      <c r="B35" s="96">
        <f>1*E11</f>
        <v>0</v>
      </c>
      <c r="C35" s="43" t="s">
        <v>538</v>
      </c>
      <c r="D35" s="1080">
        <f>B35/B36</f>
        <v>0</v>
      </c>
      <c r="E35" s="1082" t="s">
        <v>556</v>
      </c>
      <c r="F35" s="1"/>
      <c r="G35" s="1"/>
    </row>
    <row r="36" spans="1:7" ht="16.5" thickBot="1">
      <c r="A36" s="8"/>
      <c r="B36" s="44">
        <v>2000</v>
      </c>
      <c r="C36" s="46" t="s">
        <v>560</v>
      </c>
      <c r="D36" s="1081"/>
      <c r="E36" s="1083"/>
      <c r="F36" s="1"/>
      <c r="G36" s="1"/>
    </row>
    <row r="37" spans="1:7" ht="15.75">
      <c r="A37" s="1"/>
      <c r="B37" s="1"/>
      <c r="C37" s="1"/>
      <c r="D37" s="1"/>
      <c r="E37" s="1"/>
      <c r="F37" s="1"/>
      <c r="G37" s="1"/>
    </row>
    <row r="38" spans="1:7" ht="15.75">
      <c r="A38" s="1"/>
      <c r="B38" s="1"/>
      <c r="C38" s="1"/>
      <c r="D38" s="1"/>
      <c r="E38" s="1"/>
      <c r="F38" s="1"/>
      <c r="G38" s="1"/>
    </row>
    <row r="39" spans="1:7" ht="16.5" thickBot="1">
      <c r="A39" s="1"/>
      <c r="B39" s="1"/>
      <c r="C39" s="1"/>
      <c r="D39" s="1"/>
      <c r="E39" s="1"/>
      <c r="F39" s="1"/>
      <c r="G39" s="1"/>
    </row>
    <row r="40" spans="1:7" ht="15.75">
      <c r="A40" s="1"/>
      <c r="B40" s="97">
        <f>1*D35</f>
        <v>0</v>
      </c>
      <c r="C40" s="43" t="s">
        <v>556</v>
      </c>
      <c r="D40" s="1080">
        <f>B40/B41</f>
        <v>0</v>
      </c>
      <c r="E40" s="1080" t="s">
        <v>561</v>
      </c>
      <c r="G40" s="1"/>
    </row>
    <row r="41" spans="1:7" ht="16.5" thickBot="1">
      <c r="A41" s="1"/>
      <c r="B41" s="49">
        <f>1*C21</f>
        <v>3</v>
      </c>
      <c r="C41" s="46" t="s">
        <v>562</v>
      </c>
      <c r="D41" s="1081"/>
      <c r="E41" s="1081"/>
      <c r="G41" s="1"/>
    </row>
    <row r="42" spans="1:7" ht="15.75">
      <c r="A42" s="1"/>
      <c r="B42" s="1"/>
      <c r="C42" s="1"/>
      <c r="D42" s="1"/>
      <c r="E42" s="1"/>
      <c r="F42" s="1"/>
      <c r="G42" s="1"/>
    </row>
    <row r="43" spans="1:7" ht="15.75">
      <c r="A43" s="1"/>
      <c r="B43" s="1"/>
      <c r="C43" s="1"/>
      <c r="D43" s="1"/>
      <c r="E43" s="1"/>
      <c r="F43" s="1"/>
      <c r="G43" s="1"/>
    </row>
    <row r="44" spans="1:7" ht="15.75">
      <c r="A44" s="8" t="s">
        <v>707</v>
      </c>
      <c r="B44" s="1"/>
      <c r="C44" s="1"/>
      <c r="D44" s="1"/>
      <c r="E44" s="1"/>
      <c r="F44" s="1"/>
      <c r="G44" s="1"/>
    </row>
    <row r="45" spans="1:7" ht="16.5" thickBot="1">
      <c r="A45" s="1"/>
      <c r="B45" s="1"/>
      <c r="C45" s="12"/>
      <c r="D45" s="1"/>
      <c r="E45" s="13"/>
      <c r="F45" s="1"/>
      <c r="G45" s="13"/>
    </row>
    <row r="46" spans="1:7" ht="16.5" thickBot="1">
      <c r="A46" s="39" t="s">
        <v>708</v>
      </c>
      <c r="B46" s="98">
        <f>E21*E12</f>
        <v>0</v>
      </c>
      <c r="C46" s="99" t="s">
        <v>709</v>
      </c>
      <c r="D46" s="100">
        <f>B46/B41</f>
        <v>0</v>
      </c>
      <c r="E46" s="99" t="s">
        <v>561</v>
      </c>
      <c r="G46" s="1"/>
    </row>
    <row r="47" spans="1:7" ht="16.5" thickBot="1">
      <c r="A47" s="39" t="s">
        <v>568</v>
      </c>
      <c r="B47" s="100">
        <f>B46*B23</f>
        <v>0</v>
      </c>
      <c r="C47" s="99" t="s">
        <v>709</v>
      </c>
      <c r="D47" s="101">
        <f>D46*B23</f>
        <v>0</v>
      </c>
      <c r="E47" s="99" t="s">
        <v>561</v>
      </c>
      <c r="F47" s="1"/>
      <c r="G47" s="1"/>
    </row>
    <row r="48" spans="1:7" ht="15.75">
      <c r="A48" s="1"/>
      <c r="B48" s="1"/>
      <c r="C48" s="1"/>
      <c r="D48" s="1"/>
      <c r="E48" s="1"/>
      <c r="F48" s="1"/>
      <c r="G48" s="1"/>
    </row>
    <row r="49" spans="1:7" ht="15.75">
      <c r="A49" s="1"/>
      <c r="B49" s="1"/>
      <c r="C49" s="1"/>
      <c r="D49" s="1"/>
      <c r="E49" s="1"/>
      <c r="F49" s="1"/>
      <c r="G49" s="1"/>
    </row>
    <row r="50" spans="1:7" ht="15.75">
      <c r="A50" s="8" t="s">
        <v>710</v>
      </c>
      <c r="B50" s="1"/>
      <c r="C50" s="1"/>
      <c r="D50" s="1"/>
      <c r="E50" s="1"/>
      <c r="F50" s="1"/>
      <c r="G50" s="1"/>
    </row>
    <row r="51" spans="1:7" ht="16.5" thickBot="1">
      <c r="A51" s="1"/>
      <c r="B51" s="1"/>
      <c r="C51" s="1"/>
      <c r="D51" s="1"/>
      <c r="E51" s="1"/>
      <c r="F51" s="1"/>
      <c r="G51" s="1"/>
    </row>
    <row r="52" spans="1:7" ht="16.5" thickBot="1">
      <c r="A52" s="39" t="s">
        <v>711</v>
      </c>
      <c r="B52" s="41">
        <v>7.46E-05</v>
      </c>
      <c r="C52" s="51">
        <f>E9</f>
        <v>0</v>
      </c>
      <c r="D52" s="103">
        <f>B52*C52</f>
        <v>0</v>
      </c>
      <c r="E52" s="99" t="s">
        <v>556</v>
      </c>
      <c r="G52" s="1"/>
    </row>
    <row r="53" spans="1:7" ht="16.5" thickBot="1">
      <c r="A53" s="47"/>
      <c r="B53" s="47"/>
      <c r="C53" s="47"/>
      <c r="D53" s="50"/>
      <c r="E53" s="47"/>
      <c r="F53" s="47"/>
      <c r="G53" s="1"/>
    </row>
    <row r="54" spans="1:7" ht="15.75">
      <c r="A54" s="1"/>
      <c r="B54" s="102">
        <f>1*D52</f>
        <v>0</v>
      </c>
      <c r="C54" s="43" t="s">
        <v>572</v>
      </c>
      <c r="D54" s="1080">
        <f>B54/B55</f>
        <v>0</v>
      </c>
      <c r="E54" s="1080" t="s">
        <v>561</v>
      </c>
      <c r="G54" s="1"/>
    </row>
    <row r="55" spans="1:7" ht="16.5" thickBot="1">
      <c r="A55" s="1"/>
      <c r="B55" s="48">
        <f>1*C21</f>
        <v>3</v>
      </c>
      <c r="C55" s="46" t="s">
        <v>562</v>
      </c>
      <c r="D55" s="1081"/>
      <c r="E55" s="1081"/>
      <c r="G55" s="1"/>
    </row>
    <row r="56" spans="1:7" ht="16.5" thickBot="1">
      <c r="A56" s="1"/>
      <c r="B56" s="1"/>
      <c r="C56" s="1"/>
      <c r="D56" s="1"/>
      <c r="E56" s="1"/>
      <c r="F56" s="1"/>
      <c r="G56" s="1"/>
    </row>
    <row r="57" spans="1:7" ht="16.5" thickBot="1">
      <c r="A57" s="39" t="s">
        <v>574</v>
      </c>
      <c r="B57" s="41">
        <v>0.0004</v>
      </c>
      <c r="C57" s="51">
        <f>E10</f>
        <v>0</v>
      </c>
      <c r="D57" s="103">
        <f>B57*C57</f>
        <v>0</v>
      </c>
      <c r="E57" s="99" t="s">
        <v>556</v>
      </c>
      <c r="G57" s="1"/>
    </row>
    <row r="58" spans="1:7" ht="16.5" thickBot="1">
      <c r="A58" s="1"/>
      <c r="B58" s="1"/>
      <c r="C58" s="1"/>
      <c r="D58" s="4"/>
      <c r="E58" s="1"/>
      <c r="F58" s="1"/>
      <c r="G58" s="1"/>
    </row>
    <row r="59" spans="1:7" ht="15.75">
      <c r="A59" s="1"/>
      <c r="B59" s="53">
        <f>1*D57</f>
        <v>0</v>
      </c>
      <c r="C59" s="43" t="s">
        <v>572</v>
      </c>
      <c r="D59" s="1080">
        <f>B59/B60</f>
        <v>0</v>
      </c>
      <c r="E59" s="1080" t="s">
        <v>561</v>
      </c>
      <c r="G59" s="1"/>
    </row>
    <row r="60" spans="1:7" ht="16.5" thickBot="1">
      <c r="A60" s="1"/>
      <c r="B60" s="48">
        <f>1*C21</f>
        <v>3</v>
      </c>
      <c r="C60" s="46" t="s">
        <v>562</v>
      </c>
      <c r="D60" s="1081"/>
      <c r="E60" s="1081"/>
      <c r="G60" s="1"/>
    </row>
    <row r="61" spans="1:7" ht="15.75">
      <c r="A61" s="1"/>
      <c r="B61" s="1"/>
      <c r="C61" s="1"/>
      <c r="D61" s="1"/>
      <c r="E61" s="1"/>
      <c r="F61" s="1"/>
      <c r="G61" s="1"/>
    </row>
    <row r="62" spans="1:7" ht="15.75">
      <c r="A62" s="1"/>
      <c r="B62" s="1"/>
      <c r="C62" s="1"/>
      <c r="D62" s="1"/>
      <c r="E62" s="1"/>
      <c r="F62" s="1"/>
      <c r="G62" s="1"/>
    </row>
    <row r="63" spans="1:7" ht="16.5" thickBot="1">
      <c r="A63" s="52" t="s">
        <v>712</v>
      </c>
      <c r="B63" s="1"/>
      <c r="C63" s="1"/>
      <c r="D63" s="1"/>
      <c r="E63" s="1"/>
      <c r="F63" s="1"/>
      <c r="G63" s="1"/>
    </row>
    <row r="64" spans="1:7" ht="16.5" thickBot="1">
      <c r="A64" s="53" t="s">
        <v>576</v>
      </c>
      <c r="B64" s="42"/>
      <c r="C64" s="42"/>
      <c r="D64" s="42">
        <v>10000</v>
      </c>
      <c r="E64" s="42" t="s">
        <v>577</v>
      </c>
      <c r="F64" s="43"/>
      <c r="G64" s="1"/>
    </row>
    <row r="65" spans="1:7" ht="16.5" thickBot="1">
      <c r="A65" s="39" t="s">
        <v>578</v>
      </c>
      <c r="B65" s="41"/>
      <c r="C65" s="41"/>
      <c r="D65" s="41">
        <v>10000</v>
      </c>
      <c r="E65" s="41" t="s">
        <v>577</v>
      </c>
      <c r="F65" s="40"/>
      <c r="G65" s="1"/>
    </row>
    <row r="66" spans="1:7" ht="16.5" thickBot="1">
      <c r="A66" s="39" t="s">
        <v>579</v>
      </c>
      <c r="B66" s="41"/>
      <c r="C66" s="41"/>
      <c r="D66" s="41">
        <v>2000</v>
      </c>
      <c r="E66" s="41" t="s">
        <v>577</v>
      </c>
      <c r="F66" s="40"/>
      <c r="G66" s="1"/>
    </row>
    <row r="67" spans="1:7" ht="16.5" thickBot="1">
      <c r="A67" s="39" t="s">
        <v>580</v>
      </c>
      <c r="B67" s="41"/>
      <c r="C67" s="41"/>
      <c r="D67" s="41">
        <v>1000</v>
      </c>
      <c r="E67" s="41" t="s">
        <v>577</v>
      </c>
      <c r="F67" s="40"/>
      <c r="G67" s="1"/>
    </row>
    <row r="68" spans="1:7" ht="16.5" thickBot="1">
      <c r="A68" s="39" t="s">
        <v>581</v>
      </c>
      <c r="B68" s="41"/>
      <c r="C68" s="41"/>
      <c r="D68" s="55">
        <v>0.3</v>
      </c>
      <c r="E68" s="41" t="s">
        <v>582</v>
      </c>
      <c r="F68" s="40"/>
      <c r="G68" s="1"/>
    </row>
    <row r="69" spans="1:7" ht="16.5" thickBot="1">
      <c r="A69" s="48" t="s">
        <v>583</v>
      </c>
      <c r="B69" s="45"/>
      <c r="C69" s="45"/>
      <c r="D69" s="54">
        <v>0.2</v>
      </c>
      <c r="E69" s="45" t="s">
        <v>582</v>
      </c>
      <c r="F69" s="46"/>
      <c r="G69" s="1"/>
    </row>
    <row r="70" spans="1:7" ht="15.75">
      <c r="A70" s="1"/>
      <c r="B70" s="1"/>
      <c r="C70" s="1"/>
      <c r="D70" s="1"/>
      <c r="E70" s="1"/>
      <c r="F70" s="1"/>
      <c r="G70" s="1"/>
    </row>
    <row r="71" spans="1:7" ht="16.5" thickBot="1">
      <c r="A71" s="1"/>
      <c r="B71" s="1"/>
      <c r="C71" s="1"/>
      <c r="D71" s="1"/>
      <c r="E71" s="1"/>
      <c r="F71" s="1"/>
      <c r="G71" s="1"/>
    </row>
    <row r="72" spans="1:7" ht="16.5" thickBot="1">
      <c r="A72" s="1084" t="s">
        <v>545</v>
      </c>
      <c r="B72" s="43"/>
      <c r="C72" s="96" t="s">
        <v>696</v>
      </c>
      <c r="D72" s="104">
        <f>C52-(C52*D68)</f>
        <v>0</v>
      </c>
      <c r="E72" s="106">
        <f>D72/D73</f>
        <v>0</v>
      </c>
      <c r="F72" s="99" t="s">
        <v>556</v>
      </c>
      <c r="G72" s="1"/>
    </row>
    <row r="73" spans="1:7" ht="16.5" thickBot="1">
      <c r="A73" s="1085"/>
      <c r="B73" s="46"/>
      <c r="C73" s="49" t="s">
        <v>694</v>
      </c>
      <c r="D73" s="105">
        <f>1*D64</f>
        <v>10000</v>
      </c>
      <c r="E73" s="103">
        <f>1*E72/C21</f>
        <v>0</v>
      </c>
      <c r="F73" s="99" t="s">
        <v>561</v>
      </c>
      <c r="G73" s="1"/>
    </row>
    <row r="74" spans="1:7" ht="16.5" thickBot="1">
      <c r="A74" s="1"/>
      <c r="B74" s="1"/>
      <c r="C74" s="3"/>
      <c r="D74" s="1"/>
      <c r="E74" s="1"/>
      <c r="F74" s="1"/>
      <c r="G74" s="1"/>
    </row>
    <row r="75" spans="1:7" ht="16.5" thickBot="1">
      <c r="A75" s="1084" t="s">
        <v>588</v>
      </c>
      <c r="B75" s="43"/>
      <c r="C75" s="96" t="s">
        <v>713</v>
      </c>
      <c r="D75" s="104">
        <f>C57-(C57*D69)</f>
        <v>0</v>
      </c>
      <c r="E75" s="100">
        <f>D75/D76</f>
        <v>0</v>
      </c>
      <c r="F75" s="106" t="s">
        <v>556</v>
      </c>
      <c r="G75" s="1"/>
    </row>
    <row r="76" spans="1:7" ht="16.5" thickBot="1">
      <c r="A76" s="1085"/>
      <c r="B76" s="46"/>
      <c r="C76" s="49" t="s">
        <v>694</v>
      </c>
      <c r="D76" s="105">
        <f>1*D65</f>
        <v>10000</v>
      </c>
      <c r="E76" s="100">
        <f>E75/C21</f>
        <v>0</v>
      </c>
      <c r="F76" s="106" t="s">
        <v>561</v>
      </c>
      <c r="G76" s="1"/>
    </row>
    <row r="77" spans="1:7" ht="15.75">
      <c r="A77" s="1"/>
      <c r="B77" s="1"/>
      <c r="C77" s="1"/>
      <c r="D77" s="1"/>
      <c r="E77" s="1"/>
      <c r="F77" s="1"/>
      <c r="G77" s="1"/>
    </row>
    <row r="78" spans="1:7" ht="15.75">
      <c r="A78" s="1"/>
      <c r="B78" s="1"/>
      <c r="C78" s="1"/>
      <c r="D78" s="1"/>
      <c r="E78" s="1"/>
      <c r="F78" s="1"/>
      <c r="G78" s="1"/>
    </row>
    <row r="79" spans="1:7" ht="15.75">
      <c r="A79" s="2" t="s">
        <v>714</v>
      </c>
      <c r="B79" s="1"/>
      <c r="C79" s="1"/>
      <c r="D79" s="107">
        <v>0.08</v>
      </c>
      <c r="E79" s="1"/>
      <c r="G79" s="1"/>
    </row>
    <row r="80" spans="1:7" ht="15.75">
      <c r="A80" s="15" t="s">
        <v>590</v>
      </c>
      <c r="B80" s="1"/>
      <c r="C80" s="1"/>
      <c r="D80" s="1"/>
      <c r="E80" s="1"/>
      <c r="F80" s="1"/>
      <c r="G80" s="1"/>
    </row>
    <row r="81" spans="1:7" ht="15.75">
      <c r="A81" s="15" t="s">
        <v>591</v>
      </c>
      <c r="B81" s="1"/>
      <c r="C81" s="1"/>
      <c r="D81" s="1"/>
      <c r="E81" s="1"/>
      <c r="F81" s="1"/>
      <c r="G81" s="1"/>
    </row>
    <row r="82" spans="1:7" ht="15.75">
      <c r="A82" s="15" t="s">
        <v>592</v>
      </c>
      <c r="B82" s="1"/>
      <c r="C82" s="1"/>
      <c r="D82" s="1"/>
      <c r="E82" s="1"/>
      <c r="F82" s="1"/>
      <c r="G82" s="1"/>
    </row>
    <row r="83" spans="1:7" ht="15.75">
      <c r="A83" s="1"/>
      <c r="B83" s="1"/>
      <c r="C83" s="1"/>
      <c r="D83" s="1"/>
      <c r="E83" s="1"/>
      <c r="F83" s="1"/>
      <c r="G83" s="1"/>
    </row>
    <row r="84" spans="1:7" ht="16.5" thickBot="1">
      <c r="A84" s="1"/>
      <c r="B84" s="110"/>
      <c r="C84" s="1"/>
      <c r="D84" s="1"/>
      <c r="E84" s="1"/>
      <c r="F84" s="1"/>
      <c r="G84" s="1"/>
    </row>
    <row r="85" spans="1:7" ht="16.5" thickBot="1">
      <c r="A85" s="1" t="s">
        <v>545</v>
      </c>
      <c r="B85" s="111" t="s">
        <v>321</v>
      </c>
      <c r="C85" s="104">
        <f>(C52+C52*D68)/2*D79</f>
        <v>0</v>
      </c>
      <c r="D85" s="100">
        <f>C85/C86</f>
        <v>0</v>
      </c>
      <c r="E85" s="106" t="s">
        <v>556</v>
      </c>
      <c r="G85" s="1"/>
    </row>
    <row r="86" spans="1:7" ht="16.5" thickBot="1">
      <c r="A86" s="1"/>
      <c r="B86" s="112">
        <v>2000</v>
      </c>
      <c r="C86" s="105">
        <f>1*D66</f>
        <v>2000</v>
      </c>
      <c r="D86" s="108">
        <f>D85/C21</f>
        <v>0</v>
      </c>
      <c r="E86" s="109" t="s">
        <v>561</v>
      </c>
      <c r="G86" s="1"/>
    </row>
    <row r="87" spans="1:7" ht="16.5" thickBot="1">
      <c r="A87" s="1"/>
      <c r="B87" s="5"/>
      <c r="C87" s="1"/>
      <c r="D87" s="1"/>
      <c r="E87" s="1"/>
      <c r="G87" s="1"/>
    </row>
    <row r="88" spans="1:7" ht="16.5" thickBot="1">
      <c r="A88" s="1" t="s">
        <v>588</v>
      </c>
      <c r="B88" s="111" t="s">
        <v>322</v>
      </c>
      <c r="C88" s="104">
        <f>(C57+C57*D69)/2*D79</f>
        <v>0</v>
      </c>
      <c r="D88" s="98">
        <f>C88/C89</f>
        <v>0</v>
      </c>
      <c r="E88" s="106" t="s">
        <v>556</v>
      </c>
      <c r="G88" s="1"/>
    </row>
    <row r="89" spans="1:7" ht="16.5" thickBot="1">
      <c r="A89" s="1"/>
      <c r="B89" s="112">
        <v>1000</v>
      </c>
      <c r="C89" s="105">
        <f>1*D67</f>
        <v>1000</v>
      </c>
      <c r="D89" s="108">
        <f>D88/C21</f>
        <v>0</v>
      </c>
      <c r="E89" s="109" t="s">
        <v>561</v>
      </c>
      <c r="G89" s="1"/>
    </row>
    <row r="90" spans="1:7" ht="15.75">
      <c r="A90" s="1"/>
      <c r="B90" s="1"/>
      <c r="C90" s="1"/>
      <c r="D90" s="1"/>
      <c r="E90" s="1"/>
      <c r="F90" s="1"/>
      <c r="G90" s="1"/>
    </row>
    <row r="91" spans="1:7" ht="15.75">
      <c r="A91" s="1"/>
      <c r="B91" s="1"/>
      <c r="C91" s="1"/>
      <c r="D91" s="1"/>
      <c r="E91" s="1"/>
      <c r="F91" s="1"/>
      <c r="G91" s="1"/>
    </row>
    <row r="92" spans="1:7" ht="15.75">
      <c r="A92" s="2" t="s">
        <v>593</v>
      </c>
      <c r="B92" s="1"/>
      <c r="C92" s="1"/>
      <c r="D92" s="1"/>
      <c r="E92" s="1"/>
      <c r="F92" s="1"/>
      <c r="G92" s="1"/>
    </row>
    <row r="93" spans="1:7" ht="15.75">
      <c r="A93" s="1" t="s">
        <v>715</v>
      </c>
      <c r="B93" s="1"/>
      <c r="C93" s="1"/>
      <c r="D93" s="1"/>
      <c r="E93" s="1"/>
      <c r="F93" s="1"/>
      <c r="G93" s="1"/>
    </row>
    <row r="94" spans="1:7" ht="15.75">
      <c r="A94" s="1" t="s">
        <v>716</v>
      </c>
      <c r="B94" s="1"/>
      <c r="C94" s="1"/>
      <c r="D94" s="1"/>
      <c r="E94" s="1"/>
      <c r="F94" s="1"/>
      <c r="G94" s="1"/>
    </row>
    <row r="95" spans="1:7" ht="15.75">
      <c r="A95" s="1"/>
      <c r="B95" s="1"/>
      <c r="C95" s="1"/>
      <c r="D95" s="1"/>
      <c r="E95" s="1"/>
      <c r="F95" s="1"/>
      <c r="G95" s="1"/>
    </row>
    <row r="96" spans="1:7" ht="15.75">
      <c r="A96" s="62"/>
      <c r="B96" s="62"/>
      <c r="C96" s="62"/>
      <c r="D96" s="62"/>
      <c r="E96" s="62"/>
      <c r="F96" s="62"/>
      <c r="G96" s="66"/>
    </row>
    <row r="97" spans="1:7" ht="15.75">
      <c r="A97" s="62"/>
      <c r="B97" s="62"/>
      <c r="C97" s="62"/>
      <c r="D97" s="62"/>
      <c r="E97" s="62"/>
      <c r="F97" s="62"/>
      <c r="G97" s="66"/>
    </row>
    <row r="98" spans="1:7" ht="15.75">
      <c r="A98" s="62"/>
      <c r="B98" s="62"/>
      <c r="C98" s="62"/>
      <c r="D98" s="62"/>
      <c r="E98" s="62"/>
      <c r="F98" s="62"/>
      <c r="G98" s="1"/>
    </row>
    <row r="99" spans="1:7" ht="15.75">
      <c r="A99" s="62"/>
      <c r="B99" s="62"/>
      <c r="C99" s="62"/>
      <c r="D99" s="62"/>
      <c r="E99" s="62"/>
      <c r="F99" s="62"/>
      <c r="G99" s="1"/>
    </row>
    <row r="100" spans="1:7" ht="15.75">
      <c r="A100" s="62"/>
      <c r="B100" s="62"/>
      <c r="C100" s="62"/>
      <c r="D100" s="62"/>
      <c r="E100" s="62"/>
      <c r="F100" s="62"/>
      <c r="G100" s="1"/>
    </row>
    <row r="101" spans="1:7" ht="15.75">
      <c r="A101" s="61" t="s">
        <v>698</v>
      </c>
      <c r="B101" s="1"/>
      <c r="C101" s="1"/>
      <c r="D101" s="1"/>
      <c r="E101" s="1"/>
      <c r="F101" s="1"/>
      <c r="G101" s="1"/>
    </row>
    <row r="102" spans="1:7" ht="15.75">
      <c r="A102" s="1"/>
      <c r="B102" s="1"/>
      <c r="C102" s="1"/>
      <c r="D102" s="1"/>
      <c r="E102" s="1"/>
      <c r="F102" s="1"/>
      <c r="G102" s="1"/>
    </row>
    <row r="103" spans="1:7" ht="15.75">
      <c r="A103" s="2" t="s">
        <v>530</v>
      </c>
      <c r="B103" s="1"/>
      <c r="C103" s="1"/>
      <c r="D103" s="1"/>
      <c r="E103" s="1"/>
      <c r="F103" s="1"/>
      <c r="G103" s="1"/>
    </row>
    <row r="104" spans="1:7" ht="15.75">
      <c r="A104" s="1" t="s">
        <v>595</v>
      </c>
      <c r="B104" s="1"/>
      <c r="C104" s="1"/>
      <c r="D104" s="1" t="s">
        <v>533</v>
      </c>
      <c r="E104" s="4"/>
      <c r="F104" s="1"/>
      <c r="G104" s="1"/>
    </row>
    <row r="105" spans="1:7" ht="15.75">
      <c r="A105" s="1" t="s">
        <v>596</v>
      </c>
      <c r="B105" s="1"/>
      <c r="C105" s="1"/>
      <c r="D105" s="1" t="s">
        <v>533</v>
      </c>
      <c r="E105" s="4"/>
      <c r="F105" s="1"/>
      <c r="G105" s="1"/>
    </row>
    <row r="106" spans="1:7" ht="15.75">
      <c r="A106" s="1" t="s">
        <v>535</v>
      </c>
      <c r="B106" s="1"/>
      <c r="C106" s="1"/>
      <c r="D106" s="1" t="s">
        <v>533</v>
      </c>
      <c r="E106" s="4"/>
      <c r="F106" s="1"/>
      <c r="G106" s="1"/>
    </row>
    <row r="107" spans="1:7" ht="15.75">
      <c r="A107" s="1" t="s">
        <v>597</v>
      </c>
      <c r="B107" s="1"/>
      <c r="C107" s="1"/>
      <c r="D107" s="1" t="s">
        <v>533</v>
      </c>
      <c r="E107" s="4"/>
      <c r="F107" s="1"/>
      <c r="G107" s="1"/>
    </row>
    <row r="108" spans="1:7" ht="15.75">
      <c r="A108" s="1" t="s">
        <v>537</v>
      </c>
      <c r="B108" s="1"/>
      <c r="C108" s="1"/>
      <c r="D108" s="1" t="s">
        <v>538</v>
      </c>
      <c r="E108" s="1"/>
      <c r="F108" s="1"/>
      <c r="G108" s="1"/>
    </row>
    <row r="109" spans="1:7" ht="15.75">
      <c r="A109" s="1" t="s">
        <v>539</v>
      </c>
      <c r="B109" s="1"/>
      <c r="C109" s="1"/>
      <c r="D109" s="1" t="s">
        <v>540</v>
      </c>
      <c r="E109" s="6"/>
      <c r="F109" s="1"/>
      <c r="G109" s="1"/>
    </row>
    <row r="110" spans="1:7" ht="15.75">
      <c r="A110" s="1"/>
      <c r="B110" s="1"/>
      <c r="C110" s="1"/>
      <c r="D110" s="1"/>
      <c r="E110" s="6"/>
      <c r="F110" s="1"/>
      <c r="G110" s="1"/>
    </row>
    <row r="111" spans="1:7" ht="15.75">
      <c r="A111" s="1"/>
      <c r="B111" s="77" t="s">
        <v>541</v>
      </c>
      <c r="C111" s="1"/>
      <c r="D111" s="1"/>
      <c r="E111" s="6"/>
      <c r="F111" s="1"/>
      <c r="G111" s="1"/>
    </row>
    <row r="112" spans="1:7" ht="15.75">
      <c r="A112" s="1"/>
      <c r="B112" s="77" t="s">
        <v>318</v>
      </c>
      <c r="C112" s="1"/>
      <c r="D112" s="1"/>
      <c r="E112" s="6"/>
      <c r="F112" s="1"/>
      <c r="G112" s="1"/>
    </row>
    <row r="113" spans="1:7" ht="15.75">
      <c r="A113" s="1"/>
      <c r="B113" s="77" t="s">
        <v>542</v>
      </c>
      <c r="C113" s="1"/>
      <c r="D113" s="1"/>
      <c r="E113" s="6"/>
      <c r="F113" s="1"/>
      <c r="G113" s="1"/>
    </row>
    <row r="114" spans="1:7" ht="15.75">
      <c r="A114" s="1"/>
      <c r="B114" s="77" t="s">
        <v>319</v>
      </c>
      <c r="C114" s="1"/>
      <c r="D114" s="1"/>
      <c r="E114" s="6"/>
      <c r="F114" s="1"/>
      <c r="G114" s="1"/>
    </row>
    <row r="115" spans="1:7" ht="15.75">
      <c r="A115" s="1"/>
      <c r="B115" s="66" t="s">
        <v>320</v>
      </c>
      <c r="C115" s="1"/>
      <c r="D115" s="1"/>
      <c r="E115" s="1"/>
      <c r="F115" s="1"/>
      <c r="G115" s="1"/>
    </row>
    <row r="116" spans="1:7" ht="15.75">
      <c r="A116" s="1"/>
      <c r="B116" s="66"/>
      <c r="C116" s="1"/>
      <c r="D116" s="1"/>
      <c r="E116" s="1"/>
      <c r="F116" s="1"/>
      <c r="G116" s="1"/>
    </row>
    <row r="117" spans="1:7" ht="15.75">
      <c r="A117" s="2" t="s">
        <v>543</v>
      </c>
      <c r="B117" s="1"/>
      <c r="C117" s="1"/>
      <c r="D117" s="1"/>
      <c r="E117" s="1089" t="s">
        <v>544</v>
      </c>
      <c r="F117" s="1089"/>
      <c r="G117" s="1089"/>
    </row>
    <row r="118" spans="1:7" ht="15.75">
      <c r="A118" s="1" t="s">
        <v>598</v>
      </c>
      <c r="B118" s="1"/>
      <c r="C118" s="1">
        <v>2.5</v>
      </c>
      <c r="D118" s="1" t="s">
        <v>546</v>
      </c>
      <c r="E118" s="1"/>
      <c r="F118" s="1">
        <v>18</v>
      </c>
      <c r="G118" s="1" t="s">
        <v>547</v>
      </c>
    </row>
    <row r="119" spans="1:7" ht="15.75">
      <c r="A119" s="1" t="s">
        <v>599</v>
      </c>
      <c r="B119" s="1"/>
      <c r="C119" s="1">
        <v>3</v>
      </c>
      <c r="D119" s="1" t="s">
        <v>546</v>
      </c>
      <c r="E119" s="1"/>
      <c r="F119" s="1">
        <v>20</v>
      </c>
      <c r="G119" s="1" t="s">
        <v>547</v>
      </c>
    </row>
    <row r="120" spans="1:7" ht="15.75">
      <c r="A120" s="1"/>
      <c r="B120" s="1"/>
      <c r="C120" s="1"/>
      <c r="D120" s="1"/>
      <c r="E120" s="1"/>
      <c r="F120" s="1"/>
      <c r="G120" s="1"/>
    </row>
    <row r="121" spans="1:7" ht="15.75">
      <c r="A121" s="2" t="s">
        <v>548</v>
      </c>
      <c r="B121" s="7">
        <v>0.1</v>
      </c>
      <c r="C121" s="1" t="s">
        <v>549</v>
      </c>
      <c r="D121" s="1"/>
      <c r="E121" s="1"/>
      <c r="F121" s="1"/>
      <c r="G121" s="1"/>
    </row>
    <row r="122" spans="1:7" ht="15.75">
      <c r="A122" s="1"/>
      <c r="B122" s="1"/>
      <c r="C122" s="1"/>
      <c r="D122" s="1"/>
      <c r="E122" s="1"/>
      <c r="F122" s="1"/>
      <c r="G122" s="1"/>
    </row>
    <row r="123" spans="1:7" ht="15.75">
      <c r="A123" s="2" t="s">
        <v>550</v>
      </c>
      <c r="B123" s="1"/>
      <c r="C123" s="1"/>
      <c r="D123" s="1"/>
      <c r="E123" s="1"/>
      <c r="F123" s="1"/>
      <c r="G123" s="1"/>
    </row>
    <row r="124" spans="1:7" ht="15.75">
      <c r="A124" s="1" t="s">
        <v>551</v>
      </c>
      <c r="B124" s="1"/>
      <c r="C124" s="1"/>
      <c r="D124" s="1"/>
      <c r="E124" s="1"/>
      <c r="F124" s="1"/>
      <c r="G124" s="1"/>
    </row>
    <row r="125" spans="1:7" ht="15.75">
      <c r="A125" s="1" t="s">
        <v>600</v>
      </c>
      <c r="B125" s="1"/>
      <c r="C125" s="1"/>
      <c r="D125" s="1"/>
      <c r="E125" s="1"/>
      <c r="F125" s="1"/>
      <c r="G125" s="1"/>
    </row>
    <row r="126" spans="1:7" ht="15.75">
      <c r="A126" s="1" t="s">
        <v>601</v>
      </c>
      <c r="B126" s="1"/>
      <c r="C126" s="1"/>
      <c r="D126" s="1"/>
      <c r="E126" s="1"/>
      <c r="F126" s="1"/>
      <c r="G126" s="1"/>
    </row>
    <row r="127" spans="1:7" ht="15.75">
      <c r="A127" s="1"/>
      <c r="B127" s="1"/>
      <c r="C127" s="1"/>
      <c r="D127" s="1"/>
      <c r="E127" s="1"/>
      <c r="F127" s="1"/>
      <c r="G127" s="1"/>
    </row>
    <row r="128" spans="1:7" ht="15.75">
      <c r="A128" s="8" t="s">
        <v>554</v>
      </c>
      <c r="B128" s="1" t="s">
        <v>555</v>
      </c>
      <c r="C128" s="1"/>
      <c r="D128" s="1" t="s">
        <v>556</v>
      </c>
      <c r="E128" s="1"/>
      <c r="F128" s="1"/>
      <c r="G128" s="1"/>
    </row>
    <row r="129" spans="1:7" ht="15.75">
      <c r="A129" s="8" t="s">
        <v>557</v>
      </c>
      <c r="B129" s="1" t="s">
        <v>558</v>
      </c>
      <c r="C129" s="1"/>
      <c r="D129" s="1" t="s">
        <v>556</v>
      </c>
      <c r="E129" s="1"/>
      <c r="F129" s="1"/>
      <c r="G129" s="1"/>
    </row>
    <row r="130" spans="1:7" ht="15.75">
      <c r="A130" s="1"/>
      <c r="B130" s="1"/>
      <c r="C130" s="1"/>
      <c r="D130" s="1"/>
      <c r="E130" s="1"/>
      <c r="F130" s="1"/>
      <c r="G130" s="1"/>
    </row>
    <row r="131" spans="1:7" ht="15.75">
      <c r="A131" s="8" t="s">
        <v>559</v>
      </c>
      <c r="B131" s="9">
        <f>1*E108</f>
        <v>0</v>
      </c>
      <c r="C131" s="10" t="s">
        <v>538</v>
      </c>
      <c r="D131" s="1">
        <f>B131/B132</f>
        <v>0</v>
      </c>
      <c r="E131" s="1" t="s">
        <v>556</v>
      </c>
      <c r="F131" s="1"/>
      <c r="G131" s="1"/>
    </row>
    <row r="132" spans="1:7" ht="15.75">
      <c r="A132" s="8"/>
      <c r="B132" s="11">
        <v>2000</v>
      </c>
      <c r="C132" s="1" t="s">
        <v>560</v>
      </c>
      <c r="D132" s="1"/>
      <c r="E132" s="1"/>
      <c r="F132" s="1"/>
      <c r="G132" s="1"/>
    </row>
    <row r="133" spans="1:7" ht="15.75">
      <c r="A133" s="1"/>
      <c r="B133" s="1"/>
      <c r="C133" s="1"/>
      <c r="D133" s="1"/>
      <c r="E133" s="1"/>
      <c r="F133" s="1"/>
      <c r="G133" s="1"/>
    </row>
    <row r="134" spans="1:7" ht="15.75">
      <c r="A134" s="1" t="s">
        <v>598</v>
      </c>
      <c r="B134" s="1"/>
      <c r="C134" s="9">
        <f>1*D131</f>
        <v>0</v>
      </c>
      <c r="D134" s="1" t="s">
        <v>556</v>
      </c>
      <c r="E134" s="12">
        <f>C134/C135</f>
        <v>0</v>
      </c>
      <c r="F134" s="1" t="s">
        <v>561</v>
      </c>
      <c r="G134" s="1"/>
    </row>
    <row r="135" spans="1:7" ht="15.75">
      <c r="A135" s="1"/>
      <c r="B135" s="1"/>
      <c r="C135" s="3">
        <f>1*C118</f>
        <v>2.5</v>
      </c>
      <c r="D135" s="1" t="s">
        <v>562</v>
      </c>
      <c r="E135" s="1"/>
      <c r="F135" s="1"/>
      <c r="G135" s="1"/>
    </row>
    <row r="136" spans="1:7" ht="15.75">
      <c r="A136" s="1"/>
      <c r="B136" s="1"/>
      <c r="C136" s="1"/>
      <c r="D136" s="1"/>
      <c r="E136" s="1"/>
      <c r="F136" s="1"/>
      <c r="G136" s="1"/>
    </row>
    <row r="137" spans="1:7" ht="15.75">
      <c r="A137" s="1"/>
      <c r="B137" s="1"/>
      <c r="C137" s="1"/>
      <c r="D137" s="1"/>
      <c r="E137" s="1"/>
      <c r="F137" s="1"/>
      <c r="G137" s="1"/>
    </row>
    <row r="138" spans="1:7" ht="15.75">
      <c r="A138" s="1" t="s">
        <v>599</v>
      </c>
      <c r="B138" s="1"/>
      <c r="C138" s="10">
        <f>1*C134</f>
        <v>0</v>
      </c>
      <c r="D138" s="1" t="s">
        <v>556</v>
      </c>
      <c r="E138" s="12">
        <f>C138/C139</f>
        <v>0</v>
      </c>
      <c r="F138" s="1" t="s">
        <v>561</v>
      </c>
      <c r="G138" s="1"/>
    </row>
    <row r="139" spans="1:7" ht="15.75">
      <c r="A139" s="1"/>
      <c r="B139" s="1"/>
      <c r="C139" s="1">
        <f>1*C119</f>
        <v>3</v>
      </c>
      <c r="D139" s="1" t="s">
        <v>562</v>
      </c>
      <c r="E139" s="1"/>
      <c r="F139" s="1"/>
      <c r="G139" s="1"/>
    </row>
    <row r="140" spans="1:7" ht="15.75">
      <c r="A140" s="1"/>
      <c r="B140" s="1"/>
      <c r="C140" s="1"/>
      <c r="D140" s="1"/>
      <c r="E140" s="1"/>
      <c r="F140" s="1"/>
      <c r="G140" s="1"/>
    </row>
    <row r="141" spans="1:7" ht="15.75">
      <c r="A141" s="1"/>
      <c r="B141" s="1"/>
      <c r="C141" s="1"/>
      <c r="D141" s="1"/>
      <c r="E141" s="1"/>
      <c r="F141" s="1"/>
      <c r="G141" s="1"/>
    </row>
    <row r="142" spans="1:7" ht="15.75">
      <c r="A142" s="8" t="s">
        <v>563</v>
      </c>
      <c r="B142" s="1"/>
      <c r="C142" s="1"/>
      <c r="D142" s="1"/>
      <c r="E142" s="1"/>
      <c r="F142" s="1"/>
      <c r="G142" s="1"/>
    </row>
    <row r="143" spans="1:7" ht="15.75">
      <c r="A143" s="1" t="s">
        <v>602</v>
      </c>
      <c r="B143" s="1">
        <v>18</v>
      </c>
      <c r="C143" s="1" t="s">
        <v>603</v>
      </c>
      <c r="D143" s="12">
        <f>1*E109</f>
        <v>0</v>
      </c>
      <c r="E143" s="1" t="s">
        <v>564</v>
      </c>
      <c r="F143" s="1">
        <f>B143*D143</f>
        <v>0</v>
      </c>
      <c r="G143" s="1" t="s">
        <v>565</v>
      </c>
    </row>
    <row r="144" spans="1:7" ht="15.75">
      <c r="A144" s="1"/>
      <c r="B144" s="1"/>
      <c r="C144" s="1"/>
      <c r="D144" s="10">
        <f>1*F143</f>
        <v>0</v>
      </c>
      <c r="E144" s="10" t="s">
        <v>556</v>
      </c>
      <c r="F144" s="17">
        <f>D144/D145</f>
        <v>0</v>
      </c>
      <c r="G144" s="1" t="s">
        <v>561</v>
      </c>
    </row>
    <row r="145" spans="1:7" ht="15.75">
      <c r="A145" s="1"/>
      <c r="B145" s="1"/>
      <c r="C145" s="1"/>
      <c r="D145" s="1">
        <f>1*C118</f>
        <v>2.5</v>
      </c>
      <c r="E145" s="1" t="s">
        <v>562</v>
      </c>
      <c r="F145" s="1"/>
      <c r="G145" s="1"/>
    </row>
    <row r="146" spans="1:7" ht="15.75">
      <c r="A146" s="1"/>
      <c r="B146" s="1"/>
      <c r="C146" s="1"/>
      <c r="D146" s="1"/>
      <c r="E146" s="1"/>
      <c r="F146" s="1"/>
      <c r="G146" s="1"/>
    </row>
    <row r="147" spans="1:7" ht="15.75">
      <c r="A147" s="1" t="s">
        <v>604</v>
      </c>
      <c r="B147" s="1"/>
      <c r="C147" s="12">
        <f>1*F144</f>
        <v>0</v>
      </c>
      <c r="D147" s="1" t="s">
        <v>566</v>
      </c>
      <c r="E147" s="18">
        <f>(C147*B121)</f>
        <v>0</v>
      </c>
      <c r="F147" s="1" t="s">
        <v>605</v>
      </c>
      <c r="G147" s="13">
        <f>F143*B121</f>
        <v>0</v>
      </c>
    </row>
    <row r="148" spans="1:7" ht="15.75">
      <c r="A148" s="1"/>
      <c r="B148" s="1"/>
      <c r="C148" s="12"/>
      <c r="D148" s="1"/>
      <c r="E148" s="13"/>
      <c r="F148" s="1"/>
      <c r="G148" s="13"/>
    </row>
    <row r="149" spans="1:7" ht="15.75">
      <c r="A149" s="1" t="s">
        <v>606</v>
      </c>
      <c r="B149" s="1"/>
      <c r="C149" s="1">
        <f>F119*E109</f>
        <v>0</v>
      </c>
      <c r="D149" s="1" t="s">
        <v>567</v>
      </c>
      <c r="E149" s="12">
        <f>C149/C139</f>
        <v>0</v>
      </c>
      <c r="F149" s="1" t="s">
        <v>561</v>
      </c>
      <c r="G149" s="1"/>
    </row>
    <row r="150" spans="1:7" ht="15.75">
      <c r="A150" s="1" t="s">
        <v>568</v>
      </c>
      <c r="B150" s="1">
        <f>C149*B121</f>
        <v>0</v>
      </c>
      <c r="C150" s="1" t="s">
        <v>569</v>
      </c>
      <c r="D150" s="13">
        <f>E149*B121</f>
        <v>0</v>
      </c>
      <c r="E150" s="1" t="s">
        <v>561</v>
      </c>
      <c r="F150" s="1"/>
      <c r="G150" s="1"/>
    </row>
    <row r="151" spans="1:7" ht="15.75">
      <c r="A151" s="1"/>
      <c r="B151" s="1"/>
      <c r="C151" s="1"/>
      <c r="D151" s="1"/>
      <c r="E151" s="1"/>
      <c r="F151" s="1"/>
      <c r="G151" s="1"/>
    </row>
    <row r="152" spans="1:7" ht="15.75">
      <c r="A152" s="1"/>
      <c r="B152" s="1"/>
      <c r="C152" s="1"/>
      <c r="D152" s="1"/>
      <c r="E152" s="1"/>
      <c r="F152" s="1"/>
      <c r="G152" s="1"/>
    </row>
    <row r="153" spans="1:7" ht="15.75">
      <c r="A153" s="8" t="s">
        <v>570</v>
      </c>
      <c r="B153" s="1"/>
      <c r="C153" s="1"/>
      <c r="D153" s="1"/>
      <c r="E153" s="1"/>
      <c r="F153" s="1"/>
      <c r="G153" s="1"/>
    </row>
    <row r="154" spans="1:7" ht="15.75">
      <c r="A154" s="1" t="s">
        <v>607</v>
      </c>
      <c r="B154" s="1"/>
      <c r="C154" s="1"/>
      <c r="D154" s="1"/>
      <c r="E154" s="1"/>
      <c r="F154" s="1"/>
      <c r="G154" s="1"/>
    </row>
    <row r="155" spans="1:7" ht="15.75">
      <c r="A155" s="1"/>
      <c r="B155" s="1">
        <v>7.46E-05</v>
      </c>
      <c r="C155" s="1" t="s">
        <v>571</v>
      </c>
      <c r="D155" s="1">
        <f>1*E104</f>
        <v>0</v>
      </c>
      <c r="E155" s="1">
        <f>B155*D155</f>
        <v>0</v>
      </c>
      <c r="F155" s="1" t="s">
        <v>556</v>
      </c>
      <c r="G155" s="1"/>
    </row>
    <row r="156" spans="1:7" ht="15.75">
      <c r="A156" s="1"/>
      <c r="B156" s="1"/>
      <c r="C156" s="10">
        <f>1*E155</f>
        <v>0</v>
      </c>
      <c r="D156" s="10" t="s">
        <v>608</v>
      </c>
      <c r="E156" s="13">
        <f>C156/C157</f>
        <v>0</v>
      </c>
      <c r="F156" s="1" t="s">
        <v>561</v>
      </c>
      <c r="G156" s="1"/>
    </row>
    <row r="157" spans="1:7" ht="15.75">
      <c r="A157" s="1"/>
      <c r="B157" s="1"/>
      <c r="C157" s="1">
        <f>1*C118</f>
        <v>2.5</v>
      </c>
      <c r="D157" s="1" t="s">
        <v>562</v>
      </c>
      <c r="E157" s="1"/>
      <c r="F157" s="1"/>
      <c r="G157" s="1"/>
    </row>
    <row r="158" spans="1:7" ht="15.75">
      <c r="A158" s="1"/>
      <c r="B158" s="1"/>
      <c r="C158" s="1"/>
      <c r="D158" s="1"/>
      <c r="E158" s="1"/>
      <c r="F158" s="1"/>
      <c r="G158" s="1"/>
    </row>
    <row r="159" spans="1:7" ht="15.75">
      <c r="A159" s="1" t="s">
        <v>573</v>
      </c>
      <c r="B159" s="1"/>
      <c r="C159" s="1"/>
      <c r="D159" s="1"/>
      <c r="E159" s="1"/>
      <c r="F159" s="1"/>
      <c r="G159" s="1"/>
    </row>
    <row r="160" spans="1:7" ht="15.75">
      <c r="A160" s="1"/>
      <c r="B160" s="1">
        <v>0.0004</v>
      </c>
      <c r="C160" s="1" t="s">
        <v>571</v>
      </c>
      <c r="D160" s="1">
        <f>1*E106</f>
        <v>0</v>
      </c>
      <c r="E160" s="12">
        <f>B160*D160</f>
        <v>0</v>
      </c>
      <c r="F160" s="1" t="s">
        <v>556</v>
      </c>
      <c r="G160" s="1"/>
    </row>
    <row r="161" spans="1:7" ht="15.75">
      <c r="A161" s="1"/>
      <c r="B161" s="1"/>
      <c r="C161" s="10">
        <f>1*E160</f>
        <v>0</v>
      </c>
      <c r="D161" s="1" t="s">
        <v>608</v>
      </c>
      <c r="E161" s="13">
        <f>C161/C162</f>
        <v>0</v>
      </c>
      <c r="F161" s="1" t="s">
        <v>561</v>
      </c>
      <c r="G161" s="1"/>
    </row>
    <row r="162" spans="1:7" ht="15.75">
      <c r="A162" s="1"/>
      <c r="B162" s="1"/>
      <c r="C162" s="1">
        <f>1*C118</f>
        <v>2.5</v>
      </c>
      <c r="D162" s="1" t="s">
        <v>562</v>
      </c>
      <c r="E162" s="1"/>
      <c r="F162" s="1"/>
      <c r="G162" s="1"/>
    </row>
    <row r="163" spans="1:7" ht="15.75">
      <c r="A163" s="1"/>
      <c r="B163" s="1"/>
      <c r="C163" s="1"/>
      <c r="D163" s="1"/>
      <c r="E163" s="1"/>
      <c r="F163" s="1"/>
      <c r="G163" s="1"/>
    </row>
    <row r="164" spans="1:7" ht="15.75">
      <c r="A164" s="1"/>
      <c r="B164" s="1"/>
      <c r="C164" s="1"/>
      <c r="D164" s="1"/>
      <c r="E164" s="1"/>
      <c r="F164" s="1"/>
      <c r="G164" s="1"/>
    </row>
    <row r="165" spans="1:7" ht="15.75">
      <c r="A165" s="1"/>
      <c r="B165" s="1"/>
      <c r="C165" s="1"/>
      <c r="D165" s="1"/>
      <c r="E165" s="1"/>
      <c r="F165" s="1"/>
      <c r="G165" s="1"/>
    </row>
    <row r="166" spans="1:7" ht="15.75">
      <c r="A166" s="1"/>
      <c r="B166" s="1"/>
      <c r="C166" s="1"/>
      <c r="D166" s="1"/>
      <c r="E166" s="1"/>
      <c r="F166" s="1"/>
      <c r="G166" s="1"/>
    </row>
    <row r="167" spans="1:7" ht="15.75">
      <c r="A167" s="1" t="s">
        <v>599</v>
      </c>
      <c r="B167" s="1"/>
      <c r="C167" s="1" t="s">
        <v>609</v>
      </c>
      <c r="D167" s="1">
        <f>1*E105</f>
        <v>0</v>
      </c>
      <c r="E167" s="1">
        <f>B155*D167</f>
        <v>0</v>
      </c>
      <c r="F167" s="1" t="s">
        <v>556</v>
      </c>
      <c r="G167" s="1"/>
    </row>
    <row r="168" spans="1:7" ht="15.75">
      <c r="A168" s="1"/>
      <c r="B168" s="1"/>
      <c r="C168" s="10">
        <f>1*E167</f>
        <v>0</v>
      </c>
      <c r="D168" s="10" t="s">
        <v>608</v>
      </c>
      <c r="E168" s="13">
        <f>C168/C169</f>
        <v>0</v>
      </c>
      <c r="F168" s="1" t="s">
        <v>561</v>
      </c>
      <c r="G168" s="1"/>
    </row>
    <row r="169" spans="1:7" ht="15.75">
      <c r="A169" s="1"/>
      <c r="B169" s="1"/>
      <c r="C169" s="1">
        <f>1*C119</f>
        <v>3</v>
      </c>
      <c r="D169" s="1" t="s">
        <v>562</v>
      </c>
      <c r="E169" s="1"/>
      <c r="F169" s="1"/>
      <c r="G169" s="1"/>
    </row>
    <row r="170" spans="1:7" ht="15.75">
      <c r="A170" s="1"/>
      <c r="B170" s="1"/>
      <c r="C170" s="1"/>
      <c r="D170" s="1"/>
      <c r="E170" s="1"/>
      <c r="F170" s="1"/>
      <c r="G170" s="1"/>
    </row>
    <row r="171" spans="1:7" ht="15.75">
      <c r="A171" s="1" t="s">
        <v>610</v>
      </c>
      <c r="B171" s="1"/>
      <c r="C171" s="1" t="s">
        <v>611</v>
      </c>
      <c r="D171" s="1">
        <f>1*E107</f>
        <v>0</v>
      </c>
      <c r="E171" s="1">
        <f>B160*D171</f>
        <v>0</v>
      </c>
      <c r="F171" s="1" t="s">
        <v>556</v>
      </c>
      <c r="G171" s="1"/>
    </row>
    <row r="172" spans="1:7" ht="15.75">
      <c r="A172" s="1"/>
      <c r="B172" s="1"/>
      <c r="C172" s="10">
        <f>1*E171</f>
        <v>0</v>
      </c>
      <c r="D172" s="10" t="s">
        <v>608</v>
      </c>
      <c r="E172" s="13">
        <f>C172/C173</f>
        <v>0</v>
      </c>
      <c r="F172" s="1" t="s">
        <v>561</v>
      </c>
      <c r="G172" s="1"/>
    </row>
    <row r="173" spans="1:7" ht="15.75">
      <c r="A173" s="1"/>
      <c r="B173" s="1"/>
      <c r="C173" s="1">
        <f>1*C119</f>
        <v>3</v>
      </c>
      <c r="D173" s="1" t="s">
        <v>562</v>
      </c>
      <c r="E173" s="1"/>
      <c r="F173" s="1"/>
      <c r="G173" s="1"/>
    </row>
    <row r="174" spans="1:7" ht="15.75">
      <c r="A174" s="1"/>
      <c r="B174" s="1"/>
      <c r="C174" s="1"/>
      <c r="D174" s="1"/>
      <c r="E174" s="1"/>
      <c r="F174" s="1"/>
      <c r="G174" s="1"/>
    </row>
    <row r="175" spans="1:7" ht="15.75">
      <c r="A175" s="1"/>
      <c r="B175" s="1"/>
      <c r="C175" s="1"/>
      <c r="D175" s="1"/>
      <c r="E175" s="1"/>
      <c r="F175" s="1"/>
      <c r="G175" s="1"/>
    </row>
    <row r="176" spans="1:7" ht="15.75">
      <c r="A176" s="2" t="s">
        <v>575</v>
      </c>
      <c r="B176" s="1"/>
      <c r="C176" s="1"/>
      <c r="D176" s="1"/>
      <c r="E176" s="1"/>
      <c r="F176" s="1"/>
      <c r="G176" s="1"/>
    </row>
    <row r="177" spans="1:7" ht="15.75">
      <c r="A177" s="1" t="s">
        <v>576</v>
      </c>
      <c r="B177" s="1"/>
      <c r="C177" s="1"/>
      <c r="D177" s="1">
        <v>10000</v>
      </c>
      <c r="E177" s="1" t="s">
        <v>577</v>
      </c>
      <c r="F177" s="1"/>
      <c r="G177" s="1"/>
    </row>
    <row r="178" spans="1:7" ht="15.75">
      <c r="A178" s="1" t="s">
        <v>578</v>
      </c>
      <c r="B178" s="1"/>
      <c r="C178" s="1"/>
      <c r="D178" s="1">
        <v>10000</v>
      </c>
      <c r="E178" s="1" t="s">
        <v>577</v>
      </c>
      <c r="F178" s="1"/>
      <c r="G178" s="1"/>
    </row>
    <row r="179" spans="1:7" ht="15.75">
      <c r="A179" s="1" t="s">
        <v>579</v>
      </c>
      <c r="B179" s="1"/>
      <c r="C179" s="1"/>
      <c r="D179" s="1">
        <v>2000</v>
      </c>
      <c r="E179" s="1" t="s">
        <v>577</v>
      </c>
      <c r="F179" s="1"/>
      <c r="G179" s="1"/>
    </row>
    <row r="180" spans="1:7" ht="15.75">
      <c r="A180" s="1" t="s">
        <v>580</v>
      </c>
      <c r="B180" s="1"/>
      <c r="C180" s="1"/>
      <c r="D180" s="1">
        <v>1000</v>
      </c>
      <c r="E180" s="1" t="s">
        <v>577</v>
      </c>
      <c r="F180" s="1"/>
      <c r="G180" s="1"/>
    </row>
    <row r="181" spans="1:7" ht="15.75">
      <c r="A181" s="1" t="s">
        <v>581</v>
      </c>
      <c r="B181" s="1"/>
      <c r="C181" s="1"/>
      <c r="D181" s="7">
        <v>0.3</v>
      </c>
      <c r="E181" s="1" t="s">
        <v>582</v>
      </c>
      <c r="F181" s="1"/>
      <c r="G181" s="1"/>
    </row>
    <row r="182" spans="1:7" ht="15.75">
      <c r="A182" s="1" t="s">
        <v>583</v>
      </c>
      <c r="B182" s="1"/>
      <c r="C182" s="1"/>
      <c r="D182" s="7">
        <v>0.2</v>
      </c>
      <c r="E182" s="1" t="s">
        <v>582</v>
      </c>
      <c r="F182" s="1"/>
      <c r="G182" s="1"/>
    </row>
    <row r="183" spans="1:7" ht="15.75">
      <c r="A183" s="1"/>
      <c r="B183" s="1"/>
      <c r="C183" s="1"/>
      <c r="D183" s="1"/>
      <c r="E183" s="1"/>
      <c r="F183" s="1"/>
      <c r="G183" s="1"/>
    </row>
    <row r="184" spans="1:7" ht="15.75">
      <c r="A184" s="1" t="s">
        <v>612</v>
      </c>
      <c r="B184" s="10" t="s">
        <v>584</v>
      </c>
      <c r="C184" s="9" t="s">
        <v>613</v>
      </c>
      <c r="D184" s="10">
        <f>D155-(D155*D181)</f>
        <v>0</v>
      </c>
      <c r="E184" s="1">
        <f>D184/D185</f>
        <v>0</v>
      </c>
      <c r="F184" s="1" t="s">
        <v>556</v>
      </c>
      <c r="G184" s="1"/>
    </row>
    <row r="185" spans="1:7" ht="15.75">
      <c r="A185" s="1"/>
      <c r="B185" s="1" t="s">
        <v>585</v>
      </c>
      <c r="C185" s="14">
        <v>10000</v>
      </c>
      <c r="D185" s="1">
        <f>1*D177</f>
        <v>10000</v>
      </c>
      <c r="E185" s="12">
        <f>1*E184/C118</f>
        <v>0</v>
      </c>
      <c r="F185" s="1" t="s">
        <v>561</v>
      </c>
      <c r="G185" s="1"/>
    </row>
    <row r="186" spans="1:7" ht="15.75">
      <c r="A186" s="1"/>
      <c r="B186" s="1"/>
      <c r="C186" s="1"/>
      <c r="D186" s="1"/>
      <c r="E186" s="1"/>
      <c r="F186" s="1"/>
      <c r="G186" s="1"/>
    </row>
    <row r="187" spans="1:7" ht="15.75">
      <c r="A187" s="1" t="s">
        <v>586</v>
      </c>
      <c r="B187" s="1"/>
      <c r="C187" s="9" t="s">
        <v>587</v>
      </c>
      <c r="D187" s="10">
        <f>D160-(D160*D182)</f>
        <v>0</v>
      </c>
      <c r="E187" s="1">
        <f>D187/D188</f>
        <v>0</v>
      </c>
      <c r="F187" s="1" t="s">
        <v>556</v>
      </c>
      <c r="G187" s="1"/>
    </row>
    <row r="188" spans="1:7" ht="15.75">
      <c r="A188" s="1"/>
      <c r="B188" s="1"/>
      <c r="C188" s="3">
        <v>10000</v>
      </c>
      <c r="D188" s="1">
        <f>1*D178</f>
        <v>10000</v>
      </c>
      <c r="E188" s="12">
        <f>E187/C118</f>
        <v>0</v>
      </c>
      <c r="F188" s="1" t="s">
        <v>561</v>
      </c>
      <c r="G188" s="1"/>
    </row>
    <row r="189" spans="1:7" ht="15.75">
      <c r="A189" s="1"/>
      <c r="B189" s="1"/>
      <c r="C189" s="1"/>
      <c r="D189" s="1"/>
      <c r="E189" s="1"/>
      <c r="F189" s="1"/>
      <c r="G189" s="1"/>
    </row>
    <row r="190" spans="1:7" ht="15.75">
      <c r="A190" s="1" t="s">
        <v>599</v>
      </c>
      <c r="B190" s="1"/>
      <c r="C190" s="9" t="s">
        <v>614</v>
      </c>
      <c r="D190" s="10">
        <f>D167-(D167*D181)</f>
        <v>0</v>
      </c>
      <c r="E190" s="1">
        <f>D190/D191</f>
        <v>0</v>
      </c>
      <c r="F190" s="1" t="s">
        <v>556</v>
      </c>
      <c r="G190" s="1"/>
    </row>
    <row r="191" spans="1:7" ht="15.75">
      <c r="A191" s="1"/>
      <c r="B191" s="1"/>
      <c r="C191" s="3">
        <v>10000</v>
      </c>
      <c r="D191" s="1">
        <f>1*D177</f>
        <v>10000</v>
      </c>
      <c r="E191" s="12">
        <f>1*E190/C119</f>
        <v>0</v>
      </c>
      <c r="F191" s="1" t="s">
        <v>561</v>
      </c>
      <c r="G191" s="1"/>
    </row>
    <row r="192" spans="1:7" ht="15.75">
      <c r="A192" s="1"/>
      <c r="B192" s="1"/>
      <c r="C192" s="3"/>
      <c r="D192" s="1"/>
      <c r="E192" s="1"/>
      <c r="F192" s="1"/>
      <c r="G192" s="1"/>
    </row>
    <row r="193" spans="1:7" ht="15.75">
      <c r="A193" s="1" t="s">
        <v>615</v>
      </c>
      <c r="B193" s="1"/>
      <c r="C193" s="9" t="s">
        <v>616</v>
      </c>
      <c r="D193" s="10">
        <f>D171-(D171*D182)</f>
        <v>0</v>
      </c>
      <c r="E193" s="1">
        <f>D193/D194</f>
        <v>0</v>
      </c>
      <c r="F193" s="1" t="s">
        <v>556</v>
      </c>
      <c r="G193" s="1"/>
    </row>
    <row r="194" spans="1:7" ht="15.75">
      <c r="A194" s="1"/>
      <c r="B194" s="1"/>
      <c r="C194" s="3">
        <v>10000</v>
      </c>
      <c r="D194" s="1">
        <f>1*D178</f>
        <v>10000</v>
      </c>
      <c r="E194" s="12">
        <f>E193/C119</f>
        <v>0</v>
      </c>
      <c r="F194" s="1" t="s">
        <v>561</v>
      </c>
      <c r="G194" s="1"/>
    </row>
    <row r="195" spans="1:7" ht="15.75">
      <c r="A195" s="1"/>
      <c r="B195" s="1"/>
      <c r="C195" s="1"/>
      <c r="D195" s="1"/>
      <c r="E195" s="1"/>
      <c r="F195" s="1"/>
      <c r="G195" s="1"/>
    </row>
    <row r="196" spans="1:7" ht="15.75">
      <c r="A196" s="1"/>
      <c r="B196" s="1"/>
      <c r="C196" s="1"/>
      <c r="D196" s="1"/>
      <c r="E196" s="1"/>
      <c r="F196" s="1"/>
      <c r="G196" s="1"/>
    </row>
    <row r="197" spans="1:7" ht="15.75">
      <c r="A197" s="2" t="s">
        <v>589</v>
      </c>
      <c r="B197" s="1"/>
      <c r="C197" s="1"/>
      <c r="D197" s="1"/>
      <c r="E197" s="7">
        <v>0.06</v>
      </c>
      <c r="F197" s="1"/>
      <c r="G197" s="1"/>
    </row>
    <row r="198" spans="1:7" ht="15.75">
      <c r="A198" s="15" t="s">
        <v>590</v>
      </c>
      <c r="B198" s="1"/>
      <c r="C198" s="1"/>
      <c r="D198" s="1"/>
      <c r="E198" s="7"/>
      <c r="F198" s="1"/>
      <c r="G198" s="1"/>
    </row>
    <row r="199" spans="1:7" ht="15.75">
      <c r="A199" s="15" t="s">
        <v>591</v>
      </c>
      <c r="B199" s="1"/>
      <c r="C199" s="1"/>
      <c r="D199" s="1"/>
      <c r="E199" s="7"/>
      <c r="F199" s="1"/>
      <c r="G199" s="1"/>
    </row>
    <row r="200" spans="1:7" ht="15.75">
      <c r="A200" s="15" t="s">
        <v>592</v>
      </c>
      <c r="B200" s="1"/>
      <c r="C200" s="1"/>
      <c r="D200" s="1"/>
      <c r="E200" s="7"/>
      <c r="F200" s="1"/>
      <c r="G200" s="1"/>
    </row>
    <row r="201" spans="1:7" ht="15.75">
      <c r="A201" s="2"/>
      <c r="B201" s="1"/>
      <c r="C201" s="1"/>
      <c r="D201" s="1"/>
      <c r="E201" s="7"/>
      <c r="F201" s="1"/>
      <c r="G201" s="1"/>
    </row>
    <row r="202" spans="1:7" ht="15.75">
      <c r="A202" s="1"/>
      <c r="B202" s="1"/>
      <c r="C202" s="1"/>
      <c r="D202" s="1"/>
      <c r="E202" s="1"/>
      <c r="F202" s="1"/>
      <c r="G202" s="1"/>
    </row>
    <row r="203" spans="1:7" ht="15.75">
      <c r="A203" s="1" t="s">
        <v>617</v>
      </c>
      <c r="B203" s="16" t="s">
        <v>618</v>
      </c>
      <c r="C203" s="10">
        <f>(D155+D155*D181)/2*E197</f>
        <v>0</v>
      </c>
      <c r="D203" s="1">
        <f>C203/C204</f>
        <v>0</v>
      </c>
      <c r="E203" s="1" t="s">
        <v>556</v>
      </c>
      <c r="F203" s="1"/>
      <c r="G203" s="1"/>
    </row>
    <row r="204" spans="1:7" ht="15.75">
      <c r="A204" s="1"/>
      <c r="B204" s="5">
        <v>2000</v>
      </c>
      <c r="C204" s="1">
        <f>1*D179</f>
        <v>2000</v>
      </c>
      <c r="D204" s="1">
        <f>D203/C118</f>
        <v>0</v>
      </c>
      <c r="E204" s="1" t="s">
        <v>561</v>
      </c>
      <c r="F204" s="1"/>
      <c r="G204" s="1"/>
    </row>
    <row r="205" spans="1:7" ht="15.75">
      <c r="A205" s="1"/>
      <c r="B205" s="16"/>
      <c r="C205" s="1"/>
      <c r="D205" s="1"/>
      <c r="E205" s="1"/>
      <c r="F205" s="1"/>
      <c r="G205" s="1"/>
    </row>
    <row r="206" spans="1:7" ht="15.75">
      <c r="A206" s="1" t="s">
        <v>586</v>
      </c>
      <c r="B206" s="5" t="s">
        <v>619</v>
      </c>
      <c r="C206" s="10">
        <f>(D160+D160*D182)/2*E197</f>
        <v>0</v>
      </c>
      <c r="D206" s="1">
        <f>C206/C207</f>
        <v>0</v>
      </c>
      <c r="E206" s="1" t="s">
        <v>556</v>
      </c>
      <c r="F206" s="1"/>
      <c r="G206" s="1"/>
    </row>
    <row r="207" spans="1:7" ht="15.75">
      <c r="A207" s="1"/>
      <c r="B207" s="16">
        <v>1000</v>
      </c>
      <c r="C207" s="1">
        <f>1*D180</f>
        <v>1000</v>
      </c>
      <c r="D207" s="1">
        <f>D206/C118</f>
        <v>0</v>
      </c>
      <c r="E207" s="1" t="s">
        <v>561</v>
      </c>
      <c r="F207" s="1"/>
      <c r="G207" s="1"/>
    </row>
    <row r="208" spans="1:7" ht="15.75">
      <c r="A208" s="1"/>
      <c r="B208" s="5"/>
      <c r="C208" s="1"/>
      <c r="D208" s="1"/>
      <c r="E208" s="1"/>
      <c r="F208" s="1"/>
      <c r="G208" s="1"/>
    </row>
    <row r="209" spans="1:7" ht="15.75">
      <c r="A209" s="1" t="s">
        <v>599</v>
      </c>
      <c r="B209" s="16" t="s">
        <v>620</v>
      </c>
      <c r="C209" s="10">
        <f>(D167+D167*D181)/2*E197</f>
        <v>0</v>
      </c>
      <c r="D209" s="1">
        <f>C209/C210</f>
        <v>0</v>
      </c>
      <c r="E209" s="1" t="s">
        <v>556</v>
      </c>
      <c r="G209" s="1"/>
    </row>
    <row r="210" spans="1:7" ht="15.75">
      <c r="A210" s="1"/>
      <c r="B210" s="5">
        <v>2000</v>
      </c>
      <c r="C210" s="1">
        <f>1*D179</f>
        <v>2000</v>
      </c>
      <c r="D210" s="13">
        <f>D209/C119</f>
        <v>0</v>
      </c>
      <c r="E210" s="1" t="s">
        <v>561</v>
      </c>
      <c r="G210" s="1"/>
    </row>
    <row r="211" spans="1:7" ht="15.75">
      <c r="A211" s="1"/>
      <c r="B211" s="16"/>
      <c r="C211" s="1"/>
      <c r="D211" s="1"/>
      <c r="E211" s="1"/>
      <c r="G211" s="1"/>
    </row>
    <row r="212" spans="1:7" ht="15.75">
      <c r="A212" s="1" t="s">
        <v>615</v>
      </c>
      <c r="B212" s="5" t="s">
        <v>621</v>
      </c>
      <c r="C212" s="10">
        <f>(D171+D171*D182)/2*E197</f>
        <v>0</v>
      </c>
      <c r="D212" s="1">
        <f>C212/C213</f>
        <v>0</v>
      </c>
      <c r="E212" s="1" t="s">
        <v>556</v>
      </c>
      <c r="G212" s="1"/>
    </row>
    <row r="213" spans="1:7" ht="15.75">
      <c r="A213" s="1"/>
      <c r="B213" s="16">
        <v>1000</v>
      </c>
      <c r="C213" s="1">
        <f>1*D180</f>
        <v>1000</v>
      </c>
      <c r="D213" s="12">
        <f>D212/C119</f>
        <v>0</v>
      </c>
      <c r="E213" s="1" t="s">
        <v>561</v>
      </c>
      <c r="G213" s="1"/>
    </row>
    <row r="214" spans="1:7" ht="15.75">
      <c r="A214" s="1"/>
      <c r="B214" s="1"/>
      <c r="C214" s="1"/>
      <c r="D214" s="1"/>
      <c r="E214" s="1"/>
      <c r="F214" s="1"/>
      <c r="G214" s="1"/>
    </row>
    <row r="215" spans="1:7" ht="15.75">
      <c r="A215" s="1"/>
      <c r="B215" s="1"/>
      <c r="C215" s="1"/>
      <c r="D215" s="1"/>
      <c r="E215" s="1"/>
      <c r="F215" s="1"/>
      <c r="G215" s="1"/>
    </row>
    <row r="216" spans="1:7" ht="15.75">
      <c r="A216" s="2" t="s">
        <v>593</v>
      </c>
      <c r="B216" s="1"/>
      <c r="C216" s="1"/>
      <c r="D216" s="1"/>
      <c r="E216" s="1"/>
      <c r="F216" s="1"/>
      <c r="G216" s="1"/>
    </row>
    <row r="217" spans="1:7" ht="15.75">
      <c r="A217" s="1" t="s">
        <v>622</v>
      </c>
      <c r="B217" s="1"/>
      <c r="C217" s="1"/>
      <c r="D217" s="1"/>
      <c r="E217" s="1"/>
      <c r="F217" s="1"/>
      <c r="G217" s="1"/>
    </row>
    <row r="218" spans="1:7" ht="15.75">
      <c r="A218" s="1" t="s">
        <v>594</v>
      </c>
      <c r="B218" s="1"/>
      <c r="C218" s="1"/>
      <c r="D218" s="1"/>
      <c r="E218" s="1"/>
      <c r="F218" s="1"/>
      <c r="G218" s="1"/>
    </row>
    <row r="219" spans="1:7" ht="15.75">
      <c r="A219" s="1"/>
      <c r="B219" s="1"/>
      <c r="C219" s="1"/>
      <c r="D219" s="1"/>
      <c r="E219" s="1"/>
      <c r="F219" s="1"/>
      <c r="G219" s="1"/>
    </row>
    <row r="220" spans="1:7" ht="15.75">
      <c r="A220" s="19" t="s">
        <v>623</v>
      </c>
      <c r="B220" s="1"/>
      <c r="C220" s="1"/>
      <c r="D220" s="1"/>
      <c r="E220" s="1"/>
      <c r="F220" s="1"/>
      <c r="G220" s="1"/>
    </row>
    <row r="221" spans="1:7" ht="15.75">
      <c r="A221" s="1" t="s">
        <v>624</v>
      </c>
      <c r="B221" s="1"/>
      <c r="C221" s="1"/>
      <c r="D221" s="1"/>
      <c r="E221" s="1"/>
      <c r="F221" s="1"/>
      <c r="G221" s="1"/>
    </row>
    <row r="222" spans="1:7" ht="15.75">
      <c r="A222" s="1" t="s">
        <v>625</v>
      </c>
      <c r="B222" s="1"/>
      <c r="C222" s="1"/>
      <c r="D222" s="1"/>
      <c r="E222" s="1"/>
      <c r="F222" s="1"/>
      <c r="G222" s="1"/>
    </row>
    <row r="223" ht="15.75">
      <c r="A223" s="1" t="s">
        <v>626</v>
      </c>
    </row>
    <row r="224" ht="15.75">
      <c r="A224" s="1" t="s">
        <v>627</v>
      </c>
    </row>
    <row r="226" spans="1:5" ht="15.75">
      <c r="A226" s="1" t="s">
        <v>596</v>
      </c>
      <c r="B226" s="1"/>
      <c r="C226" s="1"/>
      <c r="D226" s="1" t="s">
        <v>533</v>
      </c>
      <c r="E226" s="4">
        <v>90000</v>
      </c>
    </row>
    <row r="227" spans="1:5" ht="15.75">
      <c r="A227" s="1" t="s">
        <v>628</v>
      </c>
      <c r="B227" s="1"/>
      <c r="C227" s="1"/>
      <c r="D227" s="1">
        <v>10000</v>
      </c>
      <c r="E227" s="1" t="s">
        <v>577</v>
      </c>
    </row>
    <row r="228" spans="1:5" ht="12.75">
      <c r="A228" t="s">
        <v>629</v>
      </c>
      <c r="D228">
        <v>2000</v>
      </c>
      <c r="E228" t="s">
        <v>577</v>
      </c>
    </row>
    <row r="229" spans="1:4" ht="12.75">
      <c r="A229" t="s">
        <v>630</v>
      </c>
      <c r="D229">
        <v>2300</v>
      </c>
    </row>
    <row r="230" spans="1:4" ht="12.75">
      <c r="A230" t="s">
        <v>631</v>
      </c>
      <c r="D230">
        <v>2200</v>
      </c>
    </row>
    <row r="231" spans="1:4" ht="12.75">
      <c r="A231" t="s">
        <v>632</v>
      </c>
      <c r="D231">
        <v>2400</v>
      </c>
    </row>
    <row r="232" spans="1:4" ht="12.75">
      <c r="A232" t="s">
        <v>633</v>
      </c>
      <c r="D232" s="20">
        <v>0.06</v>
      </c>
    </row>
    <row r="234" spans="1:5" ht="12.75">
      <c r="A234" s="1086" t="s">
        <v>634</v>
      </c>
      <c r="B234" s="1086"/>
      <c r="C234" s="1086"/>
      <c r="D234" s="1086"/>
      <c r="E234" s="1086"/>
    </row>
    <row r="236" spans="1:5" ht="12.75">
      <c r="A236" s="21" t="s">
        <v>635</v>
      </c>
      <c r="D236" s="1077" t="s">
        <v>636</v>
      </c>
      <c r="E236" s="1078" t="s">
        <v>637</v>
      </c>
    </row>
    <row r="237" spans="1:5" ht="12.75">
      <c r="A237" s="1079">
        <v>2</v>
      </c>
      <c r="B237" s="1079"/>
      <c r="D237" s="1077"/>
      <c r="E237" s="1078"/>
    </row>
    <row r="239" ht="12.75">
      <c r="A239" t="s">
        <v>638</v>
      </c>
    </row>
    <row r="240" ht="12.75">
      <c r="A240" t="s">
        <v>639</v>
      </c>
    </row>
    <row r="241" ht="12.75">
      <c r="A241" t="s">
        <v>640</v>
      </c>
    </row>
    <row r="242" ht="12.75">
      <c r="A242" t="s">
        <v>641</v>
      </c>
    </row>
    <row r="243" ht="12.75">
      <c r="A243" t="s">
        <v>642</v>
      </c>
    </row>
    <row r="246" spans="1:4" ht="12.75">
      <c r="A246" s="1087" t="s">
        <v>643</v>
      </c>
      <c r="B246" s="24" t="s">
        <v>644</v>
      </c>
      <c r="C246" s="24" t="s">
        <v>645</v>
      </c>
      <c r="D246">
        <f>$D$190*$D$179/D227</f>
        <v>0</v>
      </c>
    </row>
    <row r="247" spans="1:3" ht="12.75">
      <c r="A247" s="1087"/>
      <c r="B247" s="22" t="s">
        <v>646</v>
      </c>
      <c r="C247" s="22">
        <v>10000</v>
      </c>
    </row>
    <row r="250" spans="1:3" ht="12.75">
      <c r="A250" s="25" t="s">
        <v>647</v>
      </c>
      <c r="B250" s="22" t="s">
        <v>648</v>
      </c>
      <c r="C250" s="26">
        <f>E226-D246</f>
        <v>90000</v>
      </c>
    </row>
    <row r="252" ht="12.75">
      <c r="A252" t="s">
        <v>649</v>
      </c>
    </row>
    <row r="253" ht="12.75">
      <c r="A253" t="s">
        <v>650</v>
      </c>
    </row>
    <row r="255" spans="1:5" ht="12.75">
      <c r="A255" s="21" t="s">
        <v>651</v>
      </c>
      <c r="D255" s="1077" t="s">
        <v>636</v>
      </c>
      <c r="E255" s="1078">
        <f>1*D232</f>
        <v>0.06</v>
      </c>
    </row>
    <row r="256" spans="1:5" ht="12.75">
      <c r="A256" s="1079">
        <v>2</v>
      </c>
      <c r="B256" s="1079"/>
      <c r="D256" s="1077"/>
      <c r="E256" s="1078"/>
    </row>
    <row r="257" ht="13.5" thickBot="1"/>
    <row r="258" spans="1:5" ht="13.5" thickBot="1">
      <c r="A258" s="25" t="s">
        <v>652</v>
      </c>
      <c r="B258">
        <f>(E226+C250)/2</f>
        <v>90000</v>
      </c>
      <c r="C258" s="22" t="s">
        <v>653</v>
      </c>
      <c r="D258" s="27">
        <f>D232</f>
        <v>0.06</v>
      </c>
      <c r="E258" s="28">
        <f>B258*D258</f>
        <v>5400</v>
      </c>
    </row>
    <row r="261" spans="1:5" ht="12.75">
      <c r="A261" s="1086" t="s">
        <v>654</v>
      </c>
      <c r="B261" s="1086"/>
      <c r="C261" s="1086"/>
      <c r="D261" s="1086"/>
      <c r="E261" s="1086"/>
    </row>
    <row r="263" spans="1:5" ht="12.75">
      <c r="A263" s="21" t="s">
        <v>655</v>
      </c>
      <c r="D263" s="1077" t="s">
        <v>636</v>
      </c>
      <c r="E263" s="1078" t="s">
        <v>637</v>
      </c>
    </row>
    <row r="264" spans="1:5" ht="12.75">
      <c r="A264" s="1079">
        <v>2</v>
      </c>
      <c r="B264" s="1079"/>
      <c r="D264" s="1077"/>
      <c r="E264" s="1078"/>
    </row>
    <row r="266" spans="1:4" ht="12.75">
      <c r="A266" s="23" t="s">
        <v>656</v>
      </c>
      <c r="B266" s="24" t="s">
        <v>644</v>
      </c>
      <c r="C266" s="24" t="s">
        <v>645</v>
      </c>
      <c r="D266">
        <f>$D$190*$D$179/D227</f>
        <v>0</v>
      </c>
    </row>
    <row r="267" spans="1:3" ht="12.75">
      <c r="A267" s="23"/>
      <c r="B267" s="22" t="s">
        <v>646</v>
      </c>
      <c r="C267" s="22">
        <v>10000</v>
      </c>
    </row>
    <row r="270" spans="1:3" ht="12.75">
      <c r="A270" s="25" t="s">
        <v>647</v>
      </c>
      <c r="B270" s="22" t="s">
        <v>657</v>
      </c>
      <c r="C270" s="26">
        <f>E226-D246-D266</f>
        <v>90000</v>
      </c>
    </row>
    <row r="272" ht="12.75">
      <c r="A272" t="s">
        <v>649</v>
      </c>
    </row>
    <row r="273" ht="12.75">
      <c r="A273" t="s">
        <v>650</v>
      </c>
    </row>
    <row r="275" spans="1:5" ht="12.75">
      <c r="A275" s="21" t="s">
        <v>658</v>
      </c>
      <c r="D275" s="1077" t="s">
        <v>636</v>
      </c>
      <c r="E275" s="1078">
        <f>1*$D$232</f>
        <v>0.06</v>
      </c>
    </row>
    <row r="276" spans="1:5" ht="12.75">
      <c r="A276" s="1079">
        <v>2</v>
      </c>
      <c r="B276" s="1079"/>
      <c r="D276" s="1077"/>
      <c r="E276" s="1078"/>
    </row>
    <row r="277" ht="13.5" thickBot="1"/>
    <row r="278" spans="1:5" ht="13.5" thickBot="1">
      <c r="A278" s="25" t="s">
        <v>659</v>
      </c>
      <c r="B278">
        <f>(C250+C270)/2</f>
        <v>90000</v>
      </c>
      <c r="C278" s="22" t="s">
        <v>653</v>
      </c>
      <c r="D278" s="27">
        <f>$D$232</f>
        <v>0.06</v>
      </c>
      <c r="E278" s="28">
        <f>B278*D278</f>
        <v>5400</v>
      </c>
    </row>
    <row r="281" spans="1:5" ht="12.75">
      <c r="A281" s="1086" t="s">
        <v>660</v>
      </c>
      <c r="B281" s="1086"/>
      <c r="C281" s="1086"/>
      <c r="D281" s="1086"/>
      <c r="E281" s="1086"/>
    </row>
    <row r="283" spans="1:5" ht="12.75">
      <c r="A283" s="21" t="s">
        <v>661</v>
      </c>
      <c r="D283" s="1077" t="s">
        <v>636</v>
      </c>
      <c r="E283" s="1078" t="s">
        <v>637</v>
      </c>
    </row>
    <row r="284" spans="1:5" ht="12.75">
      <c r="A284" s="1079">
        <v>2</v>
      </c>
      <c r="B284" s="1079"/>
      <c r="D284" s="1077"/>
      <c r="E284" s="1078"/>
    </row>
    <row r="286" spans="1:4" ht="12.75">
      <c r="A286" s="23" t="s">
        <v>662</v>
      </c>
      <c r="B286" s="24" t="s">
        <v>644</v>
      </c>
      <c r="C286" s="24" t="s">
        <v>645</v>
      </c>
      <c r="D286">
        <f>$D$190*$D$179/D227</f>
        <v>0</v>
      </c>
    </row>
    <row r="287" spans="1:3" ht="12.75">
      <c r="A287" s="23"/>
      <c r="B287" s="22" t="s">
        <v>646</v>
      </c>
      <c r="C287" s="22">
        <v>10000</v>
      </c>
    </row>
    <row r="290" spans="1:3" ht="12.75">
      <c r="A290" s="25" t="s">
        <v>647</v>
      </c>
      <c r="B290" s="22" t="s">
        <v>663</v>
      </c>
      <c r="C290" s="26">
        <f>E226-D246-D266-D286</f>
        <v>90000</v>
      </c>
    </row>
    <row r="292" ht="12.75">
      <c r="A292" t="s">
        <v>649</v>
      </c>
    </row>
    <row r="293" ht="12.75">
      <c r="A293" t="s">
        <v>650</v>
      </c>
    </row>
    <row r="295" spans="1:5" ht="12.75">
      <c r="A295" s="21" t="s">
        <v>664</v>
      </c>
      <c r="D295" s="1077" t="s">
        <v>636</v>
      </c>
      <c r="E295" s="1078">
        <f>1*$D$232</f>
        <v>0.06</v>
      </c>
    </row>
    <row r="296" spans="1:5" ht="12.75">
      <c r="A296" s="1079">
        <v>2</v>
      </c>
      <c r="B296" s="1079"/>
      <c r="D296" s="1077"/>
      <c r="E296" s="1078"/>
    </row>
    <row r="297" ht="13.5" thickBot="1"/>
    <row r="298" spans="1:5" ht="13.5" thickBot="1">
      <c r="A298" s="25" t="s">
        <v>665</v>
      </c>
      <c r="B298">
        <f>(C270+C290)/2</f>
        <v>90000</v>
      </c>
      <c r="C298" s="22" t="s">
        <v>653</v>
      </c>
      <c r="D298" s="27">
        <f>$D$232</f>
        <v>0.06</v>
      </c>
      <c r="E298" s="28">
        <f>B298*D298</f>
        <v>5400</v>
      </c>
    </row>
    <row r="301" spans="1:5" ht="12.75">
      <c r="A301" s="1086" t="s">
        <v>666</v>
      </c>
      <c r="B301" s="1086"/>
      <c r="C301" s="1086"/>
      <c r="D301" s="1086"/>
      <c r="E301" s="1086"/>
    </row>
    <row r="303" spans="1:5" ht="12.75">
      <c r="A303" s="21" t="s">
        <v>667</v>
      </c>
      <c r="D303" s="1077" t="s">
        <v>636</v>
      </c>
      <c r="E303" s="1078" t="s">
        <v>637</v>
      </c>
    </row>
    <row r="304" spans="1:5" ht="12.75">
      <c r="A304" s="1079">
        <v>2</v>
      </c>
      <c r="B304" s="1079"/>
      <c r="D304" s="1077"/>
      <c r="E304" s="1078"/>
    </row>
    <row r="306" spans="1:4" ht="12.75">
      <c r="A306" s="23" t="s">
        <v>668</v>
      </c>
      <c r="B306" s="24" t="s">
        <v>644</v>
      </c>
      <c r="C306" s="24" t="s">
        <v>669</v>
      </c>
      <c r="D306">
        <f>$D$190*$D$179/D227</f>
        <v>0</v>
      </c>
    </row>
    <row r="307" spans="1:3" ht="12.75">
      <c r="A307" s="23"/>
      <c r="B307" s="22" t="s">
        <v>646</v>
      </c>
      <c r="C307" s="22">
        <v>10000</v>
      </c>
    </row>
    <row r="310" spans="1:3" ht="12.75">
      <c r="A310" s="25" t="s">
        <v>647</v>
      </c>
      <c r="B310" s="22" t="s">
        <v>670</v>
      </c>
      <c r="C310" s="26">
        <f>E226-D246-D266-D286-D306</f>
        <v>90000</v>
      </c>
    </row>
    <row r="312" ht="12.75">
      <c r="A312" t="s">
        <v>649</v>
      </c>
    </row>
    <row r="313" ht="12.75">
      <c r="A313" t="s">
        <v>650</v>
      </c>
    </row>
    <row r="315" spans="1:5" ht="12.75">
      <c r="A315" s="21" t="s">
        <v>664</v>
      </c>
      <c r="D315" s="1077" t="s">
        <v>636</v>
      </c>
      <c r="E315" s="1078">
        <f>1*$D$232</f>
        <v>0.06</v>
      </c>
    </row>
    <row r="316" spans="1:5" ht="12.75">
      <c r="A316" s="1079">
        <v>2</v>
      </c>
      <c r="B316" s="1079"/>
      <c r="D316" s="1077"/>
      <c r="E316" s="1078"/>
    </row>
    <row r="317" ht="13.5" thickBot="1"/>
    <row r="318" spans="1:5" ht="13.5" thickBot="1">
      <c r="A318" s="25" t="s">
        <v>671</v>
      </c>
      <c r="B318">
        <f>(C290+C310)/2</f>
        <v>90000</v>
      </c>
      <c r="C318" s="22" t="s">
        <v>653</v>
      </c>
      <c r="D318" s="27">
        <f>$D$232</f>
        <v>0.06</v>
      </c>
      <c r="E318" s="28">
        <f>B318*D318</f>
        <v>5400</v>
      </c>
    </row>
  </sheetData>
  <sheetProtection/>
  <mergeCells count="43">
    <mergeCell ref="E59:E60"/>
    <mergeCell ref="A1:E1"/>
    <mergeCell ref="D59:D60"/>
    <mergeCell ref="E117:G117"/>
    <mergeCell ref="A8:C8"/>
    <mergeCell ref="A7:E7"/>
    <mergeCell ref="D40:D41"/>
    <mergeCell ref="D54:D55"/>
    <mergeCell ref="E54:E55"/>
    <mergeCell ref="A246:A247"/>
    <mergeCell ref="D255:D256"/>
    <mergeCell ref="E255:E256"/>
    <mergeCell ref="A256:B256"/>
    <mergeCell ref="A234:E234"/>
    <mergeCell ref="D236:D237"/>
    <mergeCell ref="E236:E237"/>
    <mergeCell ref="A237:B237"/>
    <mergeCell ref="D275:D276"/>
    <mergeCell ref="E275:E276"/>
    <mergeCell ref="A276:B276"/>
    <mergeCell ref="A281:E281"/>
    <mergeCell ref="A261:E261"/>
    <mergeCell ref="D263:D264"/>
    <mergeCell ref="E263:E264"/>
    <mergeCell ref="A264:B264"/>
    <mergeCell ref="E303:E304"/>
    <mergeCell ref="A304:B304"/>
    <mergeCell ref="D283:D284"/>
    <mergeCell ref="E283:E284"/>
    <mergeCell ref="A284:B284"/>
    <mergeCell ref="D295:D296"/>
    <mergeCell ref="E295:E296"/>
    <mergeCell ref="A296:B296"/>
    <mergeCell ref="D315:D316"/>
    <mergeCell ref="E315:E316"/>
    <mergeCell ref="A316:B316"/>
    <mergeCell ref="D35:D36"/>
    <mergeCell ref="E35:E36"/>
    <mergeCell ref="E40:E41"/>
    <mergeCell ref="A72:A73"/>
    <mergeCell ref="A75:A76"/>
    <mergeCell ref="A301:E301"/>
    <mergeCell ref="D303:D304"/>
  </mergeCells>
  <printOptions/>
  <pageMargins left="0.75" right="0.75" top="1" bottom="1" header="0" footer="0"/>
  <pageSetup horizontalDpi="120" verticalDpi="120" orientation="portrait" paperSize="9" r:id="rId2"/>
  <drawing r:id="rId1"/>
</worksheet>
</file>

<file path=xl/worksheets/sheet10.xml><?xml version="1.0" encoding="utf-8"?>
<worksheet xmlns="http://schemas.openxmlformats.org/spreadsheetml/2006/main" xmlns:r="http://schemas.openxmlformats.org/officeDocument/2006/relationships">
  <dimension ref="A2:X677"/>
  <sheetViews>
    <sheetView zoomScalePageLayoutView="0" workbookViewId="0" topLeftCell="A1">
      <selection activeCell="D1" sqref="D1"/>
    </sheetView>
  </sheetViews>
  <sheetFormatPr defaultColWidth="11.421875" defaultRowHeight="12.75"/>
  <cols>
    <col min="1" max="1" width="3.7109375" style="0" customWidth="1"/>
    <col min="2" max="2" width="38.140625" style="0" customWidth="1"/>
    <col min="3" max="3" width="9.57421875" style="0" customWidth="1"/>
    <col min="4" max="4" width="10.140625" style="0" customWidth="1"/>
    <col min="5" max="5" width="13.140625" style="0" customWidth="1"/>
    <col min="6" max="10" width="10.7109375" style="0" customWidth="1"/>
    <col min="11" max="11" width="12.00390625" style="0" customWidth="1"/>
    <col min="13" max="13" width="4.8515625" style="0" customWidth="1"/>
    <col min="14" max="14" width="36.00390625" style="0" customWidth="1"/>
    <col min="15" max="15" width="10.00390625" style="0" customWidth="1"/>
    <col min="16" max="16" width="9.7109375" style="0" customWidth="1"/>
    <col min="17" max="17" width="12.28125" style="0" customWidth="1"/>
  </cols>
  <sheetData>
    <row r="2" spans="1:23" ht="15.75">
      <c r="A2" s="1131" t="s">
        <v>526</v>
      </c>
      <c r="B2" s="1131"/>
      <c r="C2" s="1131"/>
      <c r="D2" s="1131"/>
      <c r="E2" s="1131"/>
      <c r="F2" s="1131"/>
      <c r="G2" s="1131"/>
      <c r="H2" s="1131"/>
      <c r="I2" s="1131"/>
      <c r="J2" s="1131"/>
      <c r="K2" s="1131"/>
      <c r="M2" s="1131" t="s">
        <v>510</v>
      </c>
      <c r="N2" s="1131"/>
      <c r="O2" s="1131"/>
      <c r="P2" s="1131"/>
      <c r="Q2" s="1131"/>
      <c r="R2" s="1131"/>
      <c r="S2" s="1131"/>
      <c r="T2" s="1131"/>
      <c r="U2" s="1131"/>
      <c r="V2" s="1131"/>
      <c r="W2" s="1131"/>
    </row>
    <row r="3" spans="2:18" ht="12.75">
      <c r="B3" s="704" t="s">
        <v>898</v>
      </c>
      <c r="C3" s="705" t="s">
        <v>280</v>
      </c>
      <c r="E3" s="194"/>
      <c r="F3" s="194"/>
      <c r="N3" s="704" t="s">
        <v>898</v>
      </c>
      <c r="O3" s="705" t="s">
        <v>280</v>
      </c>
      <c r="Q3" s="194"/>
      <c r="R3" s="194"/>
    </row>
    <row r="4" spans="2:17" ht="12.75">
      <c r="B4" s="706" t="s">
        <v>899</v>
      </c>
      <c r="C4" s="707">
        <v>120</v>
      </c>
      <c r="E4" s="196"/>
      <c r="N4" s="706" t="s">
        <v>899</v>
      </c>
      <c r="O4" s="158">
        <v>120</v>
      </c>
      <c r="Q4" s="196" t="s">
        <v>281</v>
      </c>
    </row>
    <row r="5" spans="1:22" ht="10.5" customHeight="1" thickBot="1">
      <c r="A5" s="157"/>
      <c r="B5" s="197"/>
      <c r="C5" s="197"/>
      <c r="D5" s="197"/>
      <c r="F5" s="1142" t="s">
        <v>282</v>
      </c>
      <c r="G5" s="1142"/>
      <c r="H5" s="1142"/>
      <c r="I5" s="1142"/>
      <c r="J5" s="1142"/>
      <c r="N5" s="197"/>
      <c r="O5" s="197"/>
      <c r="P5" s="197"/>
      <c r="R5" s="180"/>
      <c r="S5" s="161" t="s">
        <v>327</v>
      </c>
      <c r="T5" s="318">
        <v>0.85</v>
      </c>
      <c r="U5" s="157"/>
      <c r="V5" s="157"/>
    </row>
    <row r="6" spans="1:23" ht="10.5" customHeight="1" thickBot="1">
      <c r="A6" s="157"/>
      <c r="B6" s="708" t="s">
        <v>901</v>
      </c>
      <c r="C6" s="709"/>
      <c r="D6" s="201" t="s">
        <v>902</v>
      </c>
      <c r="F6" s="1143" t="s">
        <v>373</v>
      </c>
      <c r="G6" s="1144"/>
      <c r="H6" s="1144"/>
      <c r="I6" s="1144"/>
      <c r="J6" s="1145"/>
      <c r="K6" s="219" t="s">
        <v>904</v>
      </c>
      <c r="N6" s="710" t="s">
        <v>901</v>
      </c>
      <c r="O6" s="200"/>
      <c r="P6" s="711" t="s">
        <v>902</v>
      </c>
      <c r="R6" s="1132" t="s">
        <v>903</v>
      </c>
      <c r="S6" s="1133"/>
      <c r="T6" s="1133"/>
      <c r="U6" s="1133"/>
      <c r="V6" s="1134"/>
      <c r="W6" s="712" t="s">
        <v>904</v>
      </c>
    </row>
    <row r="7" spans="2:23" ht="12" customHeight="1">
      <c r="B7" s="713"/>
      <c r="C7" s="714"/>
      <c r="D7" s="206" t="s">
        <v>905</v>
      </c>
      <c r="F7" s="715">
        <v>1800</v>
      </c>
      <c r="G7" s="716">
        <v>1900</v>
      </c>
      <c r="H7" s="715">
        <v>2500</v>
      </c>
      <c r="I7" s="717">
        <v>2800</v>
      </c>
      <c r="J7" s="718">
        <v>3000</v>
      </c>
      <c r="K7" s="717">
        <v>2754</v>
      </c>
      <c r="N7" s="204"/>
      <c r="O7" s="205"/>
      <c r="P7" s="719" t="s">
        <v>905</v>
      </c>
      <c r="R7" s="207">
        <v>1800</v>
      </c>
      <c r="S7" s="208">
        <v>2200</v>
      </c>
      <c r="T7" s="207">
        <v>2500</v>
      </c>
      <c r="U7" s="209">
        <v>2800</v>
      </c>
      <c r="V7" s="210">
        <v>3000</v>
      </c>
      <c r="W7" s="159">
        <v>2350</v>
      </c>
    </row>
    <row r="8" spans="2:22" ht="12" customHeight="1">
      <c r="B8" s="180" t="s">
        <v>906</v>
      </c>
      <c r="C8" s="211"/>
      <c r="D8" s="720">
        <v>2020</v>
      </c>
      <c r="F8" s="213"/>
      <c r="G8" s="721"/>
      <c r="H8" s="215"/>
      <c r="I8" s="215"/>
      <c r="J8" s="214"/>
      <c r="N8" s="180" t="s">
        <v>906</v>
      </c>
      <c r="O8" s="211"/>
      <c r="P8" s="212">
        <v>162.5</v>
      </c>
      <c r="R8" s="213"/>
      <c r="S8" s="214"/>
      <c r="T8" s="215"/>
      <c r="U8" s="215"/>
      <c r="V8" s="214"/>
    </row>
    <row r="9" spans="2:23" ht="12" customHeight="1">
      <c r="B9" s="216" t="s">
        <v>907</v>
      </c>
      <c r="C9" s="217"/>
      <c r="D9" s="218"/>
      <c r="F9" s="264">
        <f aca="true" t="shared" si="0" ref="F9:K9">($D$8*F7)/1000</f>
        <v>3636</v>
      </c>
      <c r="G9" s="722">
        <f t="shared" si="0"/>
        <v>3838</v>
      </c>
      <c r="H9" s="264">
        <f t="shared" si="0"/>
        <v>5050</v>
      </c>
      <c r="I9" s="264">
        <f t="shared" si="0"/>
        <v>5656</v>
      </c>
      <c r="J9" s="264">
        <f t="shared" si="0"/>
        <v>6060</v>
      </c>
      <c r="K9" s="264">
        <f t="shared" si="0"/>
        <v>5563.08</v>
      </c>
      <c r="N9" s="216" t="s">
        <v>907</v>
      </c>
      <c r="O9" s="217"/>
      <c r="P9" s="218"/>
      <c r="R9" s="264">
        <f aca="true" t="shared" si="1" ref="R9:W9">R7*$P$8*$T$5/1000</f>
        <v>248.625</v>
      </c>
      <c r="S9" s="264">
        <f t="shared" si="1"/>
        <v>303.875</v>
      </c>
      <c r="T9" s="264">
        <f t="shared" si="1"/>
        <v>345.3125</v>
      </c>
      <c r="U9" s="264">
        <f t="shared" si="1"/>
        <v>386.75</v>
      </c>
      <c r="V9" s="264">
        <f t="shared" si="1"/>
        <v>414.375</v>
      </c>
      <c r="W9" s="264">
        <f t="shared" si="1"/>
        <v>324.59375</v>
      </c>
    </row>
    <row r="10" spans="2:22" ht="12" customHeight="1" thickBot="1">
      <c r="B10" s="216" t="s">
        <v>908</v>
      </c>
      <c r="C10" s="217"/>
      <c r="D10" s="220"/>
      <c r="F10" s="221"/>
      <c r="G10" s="723"/>
      <c r="J10" s="65"/>
      <c r="N10" s="216" t="s">
        <v>908</v>
      </c>
      <c r="O10" s="217"/>
      <c r="P10" s="220"/>
      <c r="R10" s="221"/>
      <c r="S10" s="222"/>
      <c r="V10" s="65"/>
    </row>
    <row r="11" spans="2:22" ht="12" customHeight="1" thickBot="1">
      <c r="B11" s="724" t="s">
        <v>909</v>
      </c>
      <c r="C11" s="164">
        <v>220</v>
      </c>
      <c r="G11" s="725"/>
      <c r="J11" s="65"/>
      <c r="N11" s="724" t="s">
        <v>909</v>
      </c>
      <c r="O11" s="164">
        <v>14</v>
      </c>
      <c r="S11" s="224"/>
      <c r="V11" s="65"/>
    </row>
    <row r="12" spans="1:23" ht="12" customHeight="1" thickBot="1">
      <c r="A12" s="161" t="s">
        <v>864</v>
      </c>
      <c r="B12" s="227" t="s">
        <v>1118</v>
      </c>
      <c r="C12" s="227" t="s">
        <v>817</v>
      </c>
      <c r="D12" s="219" t="s">
        <v>910</v>
      </c>
      <c r="E12" s="219" t="s">
        <v>911</v>
      </c>
      <c r="F12" s="1146" t="s">
        <v>912</v>
      </c>
      <c r="G12" s="1147"/>
      <c r="H12" s="1147"/>
      <c r="I12" s="1147"/>
      <c r="J12" s="1147"/>
      <c r="K12" s="1148"/>
      <c r="M12" s="161" t="s">
        <v>864</v>
      </c>
      <c r="N12" s="726" t="s">
        <v>1118</v>
      </c>
      <c r="O12" s="227" t="s">
        <v>817</v>
      </c>
      <c r="P12" s="219" t="s">
        <v>910</v>
      </c>
      <c r="Q12" s="727" t="s">
        <v>911</v>
      </c>
      <c r="R12" s="1135" t="s">
        <v>912</v>
      </c>
      <c r="S12" s="1136"/>
      <c r="T12" s="1136"/>
      <c r="U12" s="1136"/>
      <c r="V12" s="1136"/>
      <c r="W12" s="1137"/>
    </row>
    <row r="13" spans="1:23" ht="12" customHeight="1">
      <c r="A13" s="161">
        <v>7</v>
      </c>
      <c r="B13" s="234" t="str">
        <f aca="true" t="shared" si="2" ref="B13:B20">IF($A13&lt;&gt;0,VLOOKUP($A13,equi,2),"")</f>
        <v>Cincel  ( 1º Pasada )</v>
      </c>
      <c r="C13" s="728">
        <v>1</v>
      </c>
      <c r="D13" s="235">
        <f aca="true" t="shared" si="3" ref="D13:D20">IF($A13&lt;&gt;0,VLOOKUP($A13,equi,3),"")</f>
        <v>0.95</v>
      </c>
      <c r="E13" s="265">
        <f aca="true" t="shared" si="4" ref="E13:E20">D13*$C$11</f>
        <v>209</v>
      </c>
      <c r="F13" s="729">
        <f aca="true" t="shared" si="5" ref="F13:K20">$C13*$E13</f>
        <v>209</v>
      </c>
      <c r="G13" s="730">
        <f t="shared" si="5"/>
        <v>209</v>
      </c>
      <c r="H13" s="729">
        <f t="shared" si="5"/>
        <v>209</v>
      </c>
      <c r="I13" s="729">
        <f t="shared" si="5"/>
        <v>209</v>
      </c>
      <c r="J13" s="729">
        <f t="shared" si="5"/>
        <v>209</v>
      </c>
      <c r="K13" s="729">
        <f t="shared" si="5"/>
        <v>209</v>
      </c>
      <c r="M13" s="161">
        <v>7</v>
      </c>
      <c r="N13" s="234" t="str">
        <f aca="true" t="shared" si="6" ref="N13:N20">IF($M13&lt;&gt;0,VLOOKUP($M13,equi,2),"")</f>
        <v>Cincel  ( 1º Pasada )</v>
      </c>
      <c r="O13" s="227">
        <v>1</v>
      </c>
      <c r="P13" s="235">
        <f aca="true" t="shared" si="7" ref="P13:P20">IF($M13&lt;&gt;0,VLOOKUP($M13,equi,3),"")</f>
        <v>0.95</v>
      </c>
      <c r="Q13" s="165">
        <f>$P13*$O$11</f>
        <v>13.299999999999999</v>
      </c>
      <c r="R13" s="731">
        <f aca="true" t="shared" si="8" ref="R13:W20">$Q13*$O13</f>
        <v>13.299999999999999</v>
      </c>
      <c r="S13" s="731">
        <f t="shared" si="8"/>
        <v>13.299999999999999</v>
      </c>
      <c r="T13" s="731">
        <f t="shared" si="8"/>
        <v>13.299999999999999</v>
      </c>
      <c r="U13" s="731">
        <f t="shared" si="8"/>
        <v>13.299999999999999</v>
      </c>
      <c r="V13" s="731">
        <f t="shared" si="8"/>
        <v>13.299999999999999</v>
      </c>
      <c r="W13" s="731">
        <f t="shared" si="8"/>
        <v>13.299999999999999</v>
      </c>
    </row>
    <row r="14" spans="1:23" ht="12" customHeight="1">
      <c r="A14" s="161">
        <v>5</v>
      </c>
      <c r="B14" s="234" t="str">
        <f t="shared" si="2"/>
        <v>Disco Doble Acción</v>
      </c>
      <c r="C14" s="728">
        <v>1</v>
      </c>
      <c r="D14" s="235">
        <f t="shared" si="3"/>
        <v>0.5</v>
      </c>
      <c r="E14" s="265">
        <f t="shared" si="4"/>
        <v>110</v>
      </c>
      <c r="F14" s="729">
        <f t="shared" si="5"/>
        <v>110</v>
      </c>
      <c r="G14" s="730">
        <f t="shared" si="5"/>
        <v>110</v>
      </c>
      <c r="H14" s="729">
        <f t="shared" si="5"/>
        <v>110</v>
      </c>
      <c r="I14" s="729">
        <f t="shared" si="5"/>
        <v>110</v>
      </c>
      <c r="J14" s="729">
        <f t="shared" si="5"/>
        <v>110</v>
      </c>
      <c r="K14" s="729">
        <f t="shared" si="5"/>
        <v>110</v>
      </c>
      <c r="M14" s="161">
        <v>5</v>
      </c>
      <c r="N14" s="234" t="str">
        <f t="shared" si="6"/>
        <v>Disco Doble Acción</v>
      </c>
      <c r="O14" s="227">
        <v>1</v>
      </c>
      <c r="P14" s="235">
        <f t="shared" si="7"/>
        <v>0.5</v>
      </c>
      <c r="Q14" s="165">
        <f aca="true" t="shared" si="9" ref="Q14:Q20">$P14*$O$11</f>
        <v>7</v>
      </c>
      <c r="R14" s="165">
        <f t="shared" si="8"/>
        <v>7</v>
      </c>
      <c r="S14" s="165">
        <f t="shared" si="8"/>
        <v>7</v>
      </c>
      <c r="T14" s="165">
        <f t="shared" si="8"/>
        <v>7</v>
      </c>
      <c r="U14" s="165">
        <f t="shared" si="8"/>
        <v>7</v>
      </c>
      <c r="V14" s="165">
        <f t="shared" si="8"/>
        <v>7</v>
      </c>
      <c r="W14" s="165">
        <f t="shared" si="8"/>
        <v>7</v>
      </c>
    </row>
    <row r="15" spans="1:23" ht="12" customHeight="1">
      <c r="A15" s="161">
        <v>6</v>
      </c>
      <c r="B15" s="234" t="str">
        <f t="shared" si="2"/>
        <v>Disco Doble Acción más Rastra de Dientes</v>
      </c>
      <c r="C15" s="728">
        <v>1</v>
      </c>
      <c r="D15" s="235">
        <f t="shared" si="3"/>
        <v>0.65</v>
      </c>
      <c r="E15" s="265">
        <f t="shared" si="4"/>
        <v>143</v>
      </c>
      <c r="F15" s="729">
        <f t="shared" si="5"/>
        <v>143</v>
      </c>
      <c r="G15" s="730">
        <f t="shared" si="5"/>
        <v>143</v>
      </c>
      <c r="H15" s="729">
        <f t="shared" si="5"/>
        <v>143</v>
      </c>
      <c r="I15" s="729">
        <f t="shared" si="5"/>
        <v>143</v>
      </c>
      <c r="J15" s="729">
        <f t="shared" si="5"/>
        <v>143</v>
      </c>
      <c r="K15" s="729">
        <f t="shared" si="5"/>
        <v>143</v>
      </c>
      <c r="M15" s="161">
        <v>6</v>
      </c>
      <c r="N15" s="234" t="str">
        <f t="shared" si="6"/>
        <v>Disco Doble Acción más Rastra de Dientes</v>
      </c>
      <c r="O15" s="227">
        <v>1</v>
      </c>
      <c r="P15" s="235">
        <f t="shared" si="7"/>
        <v>0.65</v>
      </c>
      <c r="Q15" s="165">
        <f t="shared" si="9"/>
        <v>9.1</v>
      </c>
      <c r="R15" s="165">
        <f t="shared" si="8"/>
        <v>9.1</v>
      </c>
      <c r="S15" s="165">
        <f t="shared" si="8"/>
        <v>9.1</v>
      </c>
      <c r="T15" s="165">
        <f t="shared" si="8"/>
        <v>9.1</v>
      </c>
      <c r="U15" s="165">
        <f t="shared" si="8"/>
        <v>9.1</v>
      </c>
      <c r="V15" s="165">
        <f t="shared" si="8"/>
        <v>9.1</v>
      </c>
      <c r="W15" s="165">
        <f t="shared" si="8"/>
        <v>9.1</v>
      </c>
    </row>
    <row r="16" spans="1:23" ht="12" customHeight="1">
      <c r="A16" s="191">
        <v>11</v>
      </c>
      <c r="B16" s="234" t="str">
        <f t="shared" si="2"/>
        <v>Cultivador de Campo</v>
      </c>
      <c r="C16" s="232">
        <v>1</v>
      </c>
      <c r="D16" s="235">
        <f t="shared" si="3"/>
        <v>0.45</v>
      </c>
      <c r="E16" s="265">
        <f t="shared" si="4"/>
        <v>99</v>
      </c>
      <c r="F16" s="729">
        <f t="shared" si="5"/>
        <v>99</v>
      </c>
      <c r="G16" s="730">
        <f t="shared" si="5"/>
        <v>99</v>
      </c>
      <c r="H16" s="729">
        <f t="shared" si="5"/>
        <v>99</v>
      </c>
      <c r="I16" s="729">
        <f t="shared" si="5"/>
        <v>99</v>
      </c>
      <c r="J16" s="729">
        <f t="shared" si="5"/>
        <v>99</v>
      </c>
      <c r="K16" s="729">
        <f t="shared" si="5"/>
        <v>99</v>
      </c>
      <c r="M16" s="225">
        <v>11</v>
      </c>
      <c r="N16" s="234" t="str">
        <f t="shared" si="6"/>
        <v>Cultivador de Campo</v>
      </c>
      <c r="O16" s="232">
        <v>1</v>
      </c>
      <c r="P16" s="235">
        <f t="shared" si="7"/>
        <v>0.45</v>
      </c>
      <c r="Q16" s="165">
        <f t="shared" si="9"/>
        <v>6.3</v>
      </c>
      <c r="R16" s="165">
        <f t="shared" si="8"/>
        <v>6.3</v>
      </c>
      <c r="S16" s="165">
        <f t="shared" si="8"/>
        <v>6.3</v>
      </c>
      <c r="T16" s="165">
        <f t="shared" si="8"/>
        <v>6.3</v>
      </c>
      <c r="U16" s="165">
        <f t="shared" si="8"/>
        <v>6.3</v>
      </c>
      <c r="V16" s="165">
        <f t="shared" si="8"/>
        <v>6.3</v>
      </c>
      <c r="W16" s="165">
        <f t="shared" si="8"/>
        <v>6.3</v>
      </c>
    </row>
    <row r="17" spans="1:23" ht="12" customHeight="1">
      <c r="A17" s="191">
        <v>17</v>
      </c>
      <c r="B17" s="234" t="str">
        <f t="shared" si="2"/>
        <v>Siembra Gruesa Conv- más Inoculación</v>
      </c>
      <c r="C17" s="232">
        <v>1</v>
      </c>
      <c r="D17" s="235">
        <f t="shared" si="3"/>
        <v>0.5</v>
      </c>
      <c r="E17" s="265">
        <f t="shared" si="4"/>
        <v>110</v>
      </c>
      <c r="F17" s="729">
        <f t="shared" si="5"/>
        <v>110</v>
      </c>
      <c r="G17" s="730">
        <f t="shared" si="5"/>
        <v>110</v>
      </c>
      <c r="H17" s="729">
        <f t="shared" si="5"/>
        <v>110</v>
      </c>
      <c r="I17" s="729">
        <f t="shared" si="5"/>
        <v>110</v>
      </c>
      <c r="J17" s="729">
        <f t="shared" si="5"/>
        <v>110</v>
      </c>
      <c r="K17" s="729">
        <f t="shared" si="5"/>
        <v>110</v>
      </c>
      <c r="M17" s="225">
        <v>17</v>
      </c>
      <c r="N17" s="234" t="str">
        <f t="shared" si="6"/>
        <v>Siembra Gruesa Conv- más Inoculación</v>
      </c>
      <c r="O17" s="232">
        <v>1</v>
      </c>
      <c r="P17" s="235">
        <f t="shared" si="7"/>
        <v>0.5</v>
      </c>
      <c r="Q17" s="165">
        <f t="shared" si="9"/>
        <v>7</v>
      </c>
      <c r="R17" s="165">
        <f t="shared" si="8"/>
        <v>7</v>
      </c>
      <c r="S17" s="165">
        <f t="shared" si="8"/>
        <v>7</v>
      </c>
      <c r="T17" s="165">
        <f t="shared" si="8"/>
        <v>7</v>
      </c>
      <c r="U17" s="165">
        <f t="shared" si="8"/>
        <v>7</v>
      </c>
      <c r="V17" s="165">
        <f t="shared" si="8"/>
        <v>7</v>
      </c>
      <c r="W17" s="165">
        <f t="shared" si="8"/>
        <v>7</v>
      </c>
    </row>
    <row r="18" spans="1:23" ht="12" customHeight="1">
      <c r="A18" s="191">
        <v>22</v>
      </c>
      <c r="B18" s="234" t="str">
        <f t="shared" si="2"/>
        <v>Pulverización Terrestre p/Herbicidas y Defoliantes</v>
      </c>
      <c r="C18" s="232">
        <v>1</v>
      </c>
      <c r="D18" s="235">
        <f t="shared" si="3"/>
        <v>0.25</v>
      </c>
      <c r="E18" s="265">
        <f t="shared" si="4"/>
        <v>55</v>
      </c>
      <c r="F18" s="729">
        <f t="shared" si="5"/>
        <v>55</v>
      </c>
      <c r="G18" s="730">
        <f t="shared" si="5"/>
        <v>55</v>
      </c>
      <c r="H18" s="729">
        <f t="shared" si="5"/>
        <v>55</v>
      </c>
      <c r="I18" s="729">
        <f t="shared" si="5"/>
        <v>55</v>
      </c>
      <c r="J18" s="729">
        <f t="shared" si="5"/>
        <v>55</v>
      </c>
      <c r="K18" s="729">
        <f t="shared" si="5"/>
        <v>55</v>
      </c>
      <c r="M18" s="225">
        <v>22</v>
      </c>
      <c r="N18" s="234" t="str">
        <f t="shared" si="6"/>
        <v>Pulverización Terrestre p/Herbicidas y Defoliantes</v>
      </c>
      <c r="O18" s="232">
        <v>1</v>
      </c>
      <c r="P18" s="235">
        <f t="shared" si="7"/>
        <v>0.25</v>
      </c>
      <c r="Q18" s="165">
        <f t="shared" si="9"/>
        <v>3.5</v>
      </c>
      <c r="R18" s="165">
        <f t="shared" si="8"/>
        <v>3.5</v>
      </c>
      <c r="S18" s="165">
        <f t="shared" si="8"/>
        <v>3.5</v>
      </c>
      <c r="T18" s="165">
        <f t="shared" si="8"/>
        <v>3.5</v>
      </c>
      <c r="U18" s="165">
        <f t="shared" si="8"/>
        <v>3.5</v>
      </c>
      <c r="V18" s="165">
        <f t="shared" si="8"/>
        <v>3.5</v>
      </c>
      <c r="W18" s="165">
        <f t="shared" si="8"/>
        <v>3.5</v>
      </c>
    </row>
    <row r="19" spans="1:23" ht="12" customHeight="1">
      <c r="A19" s="191">
        <v>23</v>
      </c>
      <c r="B19" s="234" t="str">
        <f t="shared" si="2"/>
        <v>Pulverización Terrestre p/Insecticidas</v>
      </c>
      <c r="C19" s="232">
        <v>3</v>
      </c>
      <c r="D19" s="235">
        <f t="shared" si="3"/>
        <v>0.3</v>
      </c>
      <c r="E19" s="265">
        <f t="shared" si="4"/>
        <v>66</v>
      </c>
      <c r="F19" s="729">
        <f t="shared" si="5"/>
        <v>198</v>
      </c>
      <c r="G19" s="730">
        <f t="shared" si="5"/>
        <v>198</v>
      </c>
      <c r="H19" s="729">
        <f t="shared" si="5"/>
        <v>198</v>
      </c>
      <c r="I19" s="729">
        <f t="shared" si="5"/>
        <v>198</v>
      </c>
      <c r="J19" s="729">
        <f t="shared" si="5"/>
        <v>198</v>
      </c>
      <c r="K19" s="729">
        <f t="shared" si="5"/>
        <v>198</v>
      </c>
      <c r="M19" s="225">
        <v>23</v>
      </c>
      <c r="N19" s="234" t="str">
        <f t="shared" si="6"/>
        <v>Pulverización Terrestre p/Insecticidas</v>
      </c>
      <c r="O19" s="232">
        <v>3</v>
      </c>
      <c r="P19" s="235">
        <f t="shared" si="7"/>
        <v>0.3</v>
      </c>
      <c r="Q19" s="165">
        <f t="shared" si="9"/>
        <v>4.2</v>
      </c>
      <c r="R19" s="165">
        <f t="shared" si="8"/>
        <v>12.600000000000001</v>
      </c>
      <c r="S19" s="165">
        <f t="shared" si="8"/>
        <v>12.600000000000001</v>
      </c>
      <c r="T19" s="165">
        <f t="shared" si="8"/>
        <v>12.600000000000001</v>
      </c>
      <c r="U19" s="165">
        <f t="shared" si="8"/>
        <v>12.600000000000001</v>
      </c>
      <c r="V19" s="165">
        <f t="shared" si="8"/>
        <v>12.600000000000001</v>
      </c>
      <c r="W19" s="165">
        <f t="shared" si="8"/>
        <v>12.600000000000001</v>
      </c>
    </row>
    <row r="20" spans="1:23" ht="12" customHeight="1">
      <c r="A20" s="191">
        <v>20</v>
      </c>
      <c r="B20" s="234" t="str">
        <f t="shared" si="2"/>
        <v>Escardillo</v>
      </c>
      <c r="C20" s="232">
        <v>1</v>
      </c>
      <c r="D20" s="235">
        <f t="shared" si="3"/>
        <v>0.4</v>
      </c>
      <c r="E20" s="265">
        <f t="shared" si="4"/>
        <v>88</v>
      </c>
      <c r="F20" s="729">
        <f t="shared" si="5"/>
        <v>88</v>
      </c>
      <c r="G20" s="730">
        <f t="shared" si="5"/>
        <v>88</v>
      </c>
      <c r="H20" s="729">
        <f t="shared" si="5"/>
        <v>88</v>
      </c>
      <c r="I20" s="729">
        <f t="shared" si="5"/>
        <v>88</v>
      </c>
      <c r="J20" s="729">
        <f t="shared" si="5"/>
        <v>88</v>
      </c>
      <c r="K20" s="729">
        <f t="shared" si="5"/>
        <v>88</v>
      </c>
      <c r="M20" s="225">
        <v>20</v>
      </c>
      <c r="N20" s="234" t="str">
        <f t="shared" si="6"/>
        <v>Escardillo</v>
      </c>
      <c r="O20" s="232">
        <v>1</v>
      </c>
      <c r="P20" s="235">
        <f t="shared" si="7"/>
        <v>0.4</v>
      </c>
      <c r="Q20" s="165">
        <f t="shared" si="9"/>
        <v>5.6000000000000005</v>
      </c>
      <c r="R20" s="165">
        <f t="shared" si="8"/>
        <v>5.6000000000000005</v>
      </c>
      <c r="S20" s="165">
        <f t="shared" si="8"/>
        <v>5.6000000000000005</v>
      </c>
      <c r="T20" s="165">
        <f t="shared" si="8"/>
        <v>5.6000000000000005</v>
      </c>
      <c r="U20" s="165">
        <f t="shared" si="8"/>
        <v>5.6000000000000005</v>
      </c>
      <c r="V20" s="165">
        <f t="shared" si="8"/>
        <v>5.6000000000000005</v>
      </c>
      <c r="W20" s="165">
        <f t="shared" si="8"/>
        <v>5.6000000000000005</v>
      </c>
    </row>
    <row r="21" spans="1:23" ht="12" customHeight="1">
      <c r="A21" s="191"/>
      <c r="B21" s="166" t="s">
        <v>913</v>
      </c>
      <c r="C21" s="166"/>
      <c r="D21" s="268"/>
      <c r="E21" s="732"/>
      <c r="F21" s="239">
        <f aca="true" t="shared" si="10" ref="F21:K21">SUM(F13:F20)</f>
        <v>1012</v>
      </c>
      <c r="G21" s="733">
        <f t="shared" si="10"/>
        <v>1012</v>
      </c>
      <c r="H21" s="239">
        <f t="shared" si="10"/>
        <v>1012</v>
      </c>
      <c r="I21" s="239">
        <f t="shared" si="10"/>
        <v>1012</v>
      </c>
      <c r="J21" s="239">
        <f t="shared" si="10"/>
        <v>1012</v>
      </c>
      <c r="K21" s="239">
        <f t="shared" si="10"/>
        <v>1012</v>
      </c>
      <c r="M21" s="225"/>
      <c r="N21" s="166" t="s">
        <v>913</v>
      </c>
      <c r="O21" s="166"/>
      <c r="P21" s="236"/>
      <c r="Q21" s="237"/>
      <c r="R21" s="238">
        <f aca="true" t="shared" si="11" ref="R21:W21">SUM(R13:R20)</f>
        <v>64.39999999999999</v>
      </c>
      <c r="S21" s="238">
        <f t="shared" si="11"/>
        <v>64.39999999999999</v>
      </c>
      <c r="T21" s="238">
        <f t="shared" si="11"/>
        <v>64.39999999999999</v>
      </c>
      <c r="U21" s="238">
        <f t="shared" si="11"/>
        <v>64.39999999999999</v>
      </c>
      <c r="V21" s="238">
        <f t="shared" si="11"/>
        <v>64.39999999999999</v>
      </c>
      <c r="W21" s="238">
        <f t="shared" si="11"/>
        <v>64.39999999999999</v>
      </c>
    </row>
    <row r="22" spans="1:23" ht="12" customHeight="1" thickBot="1">
      <c r="A22" s="191"/>
      <c r="B22" s="734"/>
      <c r="C22" s="166" t="s">
        <v>817</v>
      </c>
      <c r="D22" s="219" t="s">
        <v>915</v>
      </c>
      <c r="E22" s="735" t="s">
        <v>916</v>
      </c>
      <c r="F22" s="1149" t="s">
        <v>912</v>
      </c>
      <c r="G22" s="1150"/>
      <c r="H22" s="1150"/>
      <c r="I22" s="1150"/>
      <c r="J22" s="1150"/>
      <c r="K22" s="1151"/>
      <c r="M22" s="191"/>
      <c r="N22" s="166"/>
      <c r="O22" s="170"/>
      <c r="P22" s="241"/>
      <c r="Q22" s="157"/>
      <c r="R22" s="242"/>
      <c r="S22" s="243"/>
      <c r="T22" s="157"/>
      <c r="U22" s="157"/>
      <c r="V22" s="244"/>
      <c r="W22" s="244"/>
    </row>
    <row r="23" spans="1:23" ht="12" customHeight="1" thickBot="1">
      <c r="A23" s="191"/>
      <c r="B23" s="162" t="s">
        <v>326</v>
      </c>
      <c r="C23" s="163">
        <v>70</v>
      </c>
      <c r="D23" s="164">
        <v>3.04</v>
      </c>
      <c r="E23" s="277">
        <f aca="true" t="shared" si="12" ref="E23:E28">1*D23</f>
        <v>3.04</v>
      </c>
      <c r="F23" s="729">
        <f aca="true" t="shared" si="13" ref="F23:K28">$C23*$E23</f>
        <v>212.8</v>
      </c>
      <c r="G23" s="730">
        <f t="shared" si="13"/>
        <v>212.8</v>
      </c>
      <c r="H23" s="729">
        <f t="shared" si="13"/>
        <v>212.8</v>
      </c>
      <c r="I23" s="729">
        <f t="shared" si="13"/>
        <v>212.8</v>
      </c>
      <c r="J23" s="729">
        <f t="shared" si="13"/>
        <v>212.8</v>
      </c>
      <c r="K23" s="729">
        <f t="shared" si="13"/>
        <v>212.8</v>
      </c>
      <c r="M23" s="191"/>
      <c r="N23" s="166"/>
      <c r="O23" s="170" t="s">
        <v>817</v>
      </c>
      <c r="P23" s="245" t="s">
        <v>915</v>
      </c>
      <c r="Q23" s="245" t="s">
        <v>916</v>
      </c>
      <c r="R23" s="1135" t="s">
        <v>912</v>
      </c>
      <c r="S23" s="1136"/>
      <c r="T23" s="1136"/>
      <c r="U23" s="1136"/>
      <c r="V23" s="1136"/>
      <c r="W23" s="1137"/>
    </row>
    <row r="24" spans="1:23" ht="12" customHeight="1">
      <c r="A24" s="191"/>
      <c r="B24" s="162" t="s">
        <v>283</v>
      </c>
      <c r="C24" s="163">
        <v>0.8</v>
      </c>
      <c r="D24" s="164">
        <v>40.5</v>
      </c>
      <c r="E24" s="277">
        <f t="shared" si="12"/>
        <v>40.5</v>
      </c>
      <c r="F24" s="278">
        <f t="shared" si="13"/>
        <v>32.4</v>
      </c>
      <c r="G24" s="736">
        <f t="shared" si="13"/>
        <v>32.4</v>
      </c>
      <c r="H24" s="278">
        <f t="shared" si="13"/>
        <v>32.4</v>
      </c>
      <c r="I24" s="278">
        <f t="shared" si="13"/>
        <v>32.4</v>
      </c>
      <c r="J24" s="278">
        <f t="shared" si="13"/>
        <v>32.4</v>
      </c>
      <c r="K24" s="278">
        <f t="shared" si="13"/>
        <v>32.4</v>
      </c>
      <c r="M24" s="191"/>
      <c r="N24" s="162" t="s">
        <v>818</v>
      </c>
      <c r="O24" s="163">
        <v>70</v>
      </c>
      <c r="P24" s="164">
        <v>0.49</v>
      </c>
      <c r="Q24" s="246">
        <f aca="true" t="shared" si="14" ref="Q24:Q29">1*P24</f>
        <v>0.49</v>
      </c>
      <c r="R24" s="247">
        <f aca="true" t="shared" si="15" ref="R24:W29">$O24*$Q24</f>
        <v>34.3</v>
      </c>
      <c r="S24" s="247">
        <f t="shared" si="15"/>
        <v>34.3</v>
      </c>
      <c r="T24" s="247">
        <f t="shared" si="15"/>
        <v>34.3</v>
      </c>
      <c r="U24" s="247">
        <f t="shared" si="15"/>
        <v>34.3</v>
      </c>
      <c r="V24" s="247">
        <f t="shared" si="15"/>
        <v>34.3</v>
      </c>
      <c r="W24" s="247">
        <f t="shared" si="15"/>
        <v>34.3</v>
      </c>
    </row>
    <row r="25" spans="1:23" ht="12" customHeight="1">
      <c r="A25" s="191"/>
      <c r="B25" s="162" t="s">
        <v>819</v>
      </c>
      <c r="C25" s="163">
        <v>2</v>
      </c>
      <c r="D25" s="164">
        <v>3.5</v>
      </c>
      <c r="E25" s="277">
        <f t="shared" si="12"/>
        <v>3.5</v>
      </c>
      <c r="F25" s="278">
        <f t="shared" si="13"/>
        <v>7</v>
      </c>
      <c r="G25" s="736">
        <f t="shared" si="13"/>
        <v>7</v>
      </c>
      <c r="H25" s="278">
        <f t="shared" si="13"/>
        <v>7</v>
      </c>
      <c r="I25" s="278">
        <f t="shared" si="13"/>
        <v>7</v>
      </c>
      <c r="J25" s="278">
        <f t="shared" si="13"/>
        <v>7</v>
      </c>
      <c r="K25" s="278">
        <f t="shared" si="13"/>
        <v>7</v>
      </c>
      <c r="M25" s="191"/>
      <c r="N25" s="162" t="s">
        <v>283</v>
      </c>
      <c r="O25" s="163">
        <v>0.8</v>
      </c>
      <c r="P25" s="164">
        <v>40.5</v>
      </c>
      <c r="Q25" s="246">
        <f t="shared" si="14"/>
        <v>40.5</v>
      </c>
      <c r="R25" s="247">
        <f t="shared" si="15"/>
        <v>32.4</v>
      </c>
      <c r="S25" s="247">
        <f t="shared" si="15"/>
        <v>32.4</v>
      </c>
      <c r="T25" s="247">
        <f t="shared" si="15"/>
        <v>32.4</v>
      </c>
      <c r="U25" s="247">
        <f t="shared" si="15"/>
        <v>32.4</v>
      </c>
      <c r="V25" s="247">
        <f t="shared" si="15"/>
        <v>32.4</v>
      </c>
      <c r="W25" s="247">
        <f t="shared" si="15"/>
        <v>32.4</v>
      </c>
    </row>
    <row r="26" spans="1:23" ht="12" customHeight="1">
      <c r="A26" s="191"/>
      <c r="B26" s="162" t="s">
        <v>820</v>
      </c>
      <c r="C26" s="163">
        <v>1.8</v>
      </c>
      <c r="D26" s="164">
        <v>6.28</v>
      </c>
      <c r="E26" s="277">
        <f t="shared" si="12"/>
        <v>6.28</v>
      </c>
      <c r="F26" s="278">
        <f t="shared" si="13"/>
        <v>11.304</v>
      </c>
      <c r="G26" s="736">
        <f t="shared" si="13"/>
        <v>11.304</v>
      </c>
      <c r="H26" s="278">
        <f t="shared" si="13"/>
        <v>11.304</v>
      </c>
      <c r="I26" s="278">
        <f t="shared" si="13"/>
        <v>11.304</v>
      </c>
      <c r="J26" s="278">
        <f t="shared" si="13"/>
        <v>11.304</v>
      </c>
      <c r="K26" s="278">
        <f t="shared" si="13"/>
        <v>11.304</v>
      </c>
      <c r="M26" s="191"/>
      <c r="N26" s="162" t="s">
        <v>819</v>
      </c>
      <c r="O26" s="163">
        <v>2</v>
      </c>
      <c r="P26" s="164">
        <v>3.5</v>
      </c>
      <c r="Q26" s="246">
        <f t="shared" si="14"/>
        <v>3.5</v>
      </c>
      <c r="R26" s="247">
        <f t="shared" si="15"/>
        <v>7</v>
      </c>
      <c r="S26" s="247">
        <f t="shared" si="15"/>
        <v>7</v>
      </c>
      <c r="T26" s="247">
        <f t="shared" si="15"/>
        <v>7</v>
      </c>
      <c r="U26" s="247">
        <f t="shared" si="15"/>
        <v>7</v>
      </c>
      <c r="V26" s="247">
        <f t="shared" si="15"/>
        <v>7</v>
      </c>
      <c r="W26" s="247">
        <f t="shared" si="15"/>
        <v>7</v>
      </c>
    </row>
    <row r="27" spans="1:23" ht="12" customHeight="1">
      <c r="A27" s="191"/>
      <c r="B27" s="162" t="s">
        <v>821</v>
      </c>
      <c r="C27" s="163">
        <v>0.06</v>
      </c>
      <c r="D27" s="164">
        <v>21</v>
      </c>
      <c r="E27" s="277">
        <f t="shared" si="12"/>
        <v>21</v>
      </c>
      <c r="F27" s="278">
        <f t="shared" si="13"/>
        <v>1.26</v>
      </c>
      <c r="G27" s="736">
        <f t="shared" si="13"/>
        <v>1.26</v>
      </c>
      <c r="H27" s="278">
        <f t="shared" si="13"/>
        <v>1.26</v>
      </c>
      <c r="I27" s="278">
        <f t="shared" si="13"/>
        <v>1.26</v>
      </c>
      <c r="J27" s="278">
        <f t="shared" si="13"/>
        <v>1.26</v>
      </c>
      <c r="K27" s="278">
        <f t="shared" si="13"/>
        <v>1.26</v>
      </c>
      <c r="M27" s="191"/>
      <c r="N27" s="162" t="s">
        <v>820</v>
      </c>
      <c r="O27" s="163">
        <v>1.8</v>
      </c>
      <c r="P27" s="164">
        <v>6.28</v>
      </c>
      <c r="Q27" s="246">
        <f t="shared" si="14"/>
        <v>6.28</v>
      </c>
      <c r="R27" s="247">
        <f t="shared" si="15"/>
        <v>11.304</v>
      </c>
      <c r="S27" s="247">
        <f t="shared" si="15"/>
        <v>11.304</v>
      </c>
      <c r="T27" s="247">
        <f t="shared" si="15"/>
        <v>11.304</v>
      </c>
      <c r="U27" s="247">
        <f t="shared" si="15"/>
        <v>11.304</v>
      </c>
      <c r="V27" s="247">
        <f t="shared" si="15"/>
        <v>11.304</v>
      </c>
      <c r="W27" s="247">
        <f t="shared" si="15"/>
        <v>11.304</v>
      </c>
    </row>
    <row r="28" spans="1:23" ht="12" customHeight="1">
      <c r="A28" s="191"/>
      <c r="B28" s="162" t="s">
        <v>822</v>
      </c>
      <c r="C28" s="163">
        <f>1.6/80</f>
        <v>0.02</v>
      </c>
      <c r="D28" s="164">
        <f>41.8/4.3</f>
        <v>9.720930232558139</v>
      </c>
      <c r="E28" s="277">
        <f t="shared" si="12"/>
        <v>9.720930232558139</v>
      </c>
      <c r="F28" s="278">
        <f t="shared" si="13"/>
        <v>0.19441860465116279</v>
      </c>
      <c r="G28" s="736">
        <f t="shared" si="13"/>
        <v>0.19441860465116279</v>
      </c>
      <c r="H28" s="278">
        <f t="shared" si="13"/>
        <v>0.19441860465116279</v>
      </c>
      <c r="I28" s="278">
        <f t="shared" si="13"/>
        <v>0.19441860465116279</v>
      </c>
      <c r="J28" s="278">
        <f t="shared" si="13"/>
        <v>0.19441860465116279</v>
      </c>
      <c r="K28" s="278">
        <f t="shared" si="13"/>
        <v>0.19441860465116279</v>
      </c>
      <c r="M28" s="191"/>
      <c r="N28" s="162" t="s">
        <v>821</v>
      </c>
      <c r="O28" s="163">
        <v>0.06</v>
      </c>
      <c r="P28" s="164">
        <v>21</v>
      </c>
      <c r="Q28" s="246">
        <f t="shared" si="14"/>
        <v>21</v>
      </c>
      <c r="R28" s="247">
        <f t="shared" si="15"/>
        <v>1.26</v>
      </c>
      <c r="S28" s="247">
        <f t="shared" si="15"/>
        <v>1.26</v>
      </c>
      <c r="T28" s="247">
        <f t="shared" si="15"/>
        <v>1.26</v>
      </c>
      <c r="U28" s="247">
        <f t="shared" si="15"/>
        <v>1.26</v>
      </c>
      <c r="V28" s="247">
        <f t="shared" si="15"/>
        <v>1.26</v>
      </c>
      <c r="W28" s="247">
        <f t="shared" si="15"/>
        <v>1.26</v>
      </c>
    </row>
    <row r="29" spans="1:23" ht="12" customHeight="1">
      <c r="A29" s="191"/>
      <c r="B29" s="166" t="s">
        <v>823</v>
      </c>
      <c r="C29" s="166"/>
      <c r="D29" s="167"/>
      <c r="E29" s="737"/>
      <c r="F29" s="280">
        <f aca="true" t="shared" si="16" ref="F29:K29">SUM(F23:F28)</f>
        <v>264.9584186046512</v>
      </c>
      <c r="G29" s="738">
        <f t="shared" si="16"/>
        <v>264.9584186046512</v>
      </c>
      <c r="H29" s="280">
        <f t="shared" si="16"/>
        <v>264.9584186046512</v>
      </c>
      <c r="I29" s="280">
        <f t="shared" si="16"/>
        <v>264.9584186046512</v>
      </c>
      <c r="J29" s="280">
        <f t="shared" si="16"/>
        <v>264.9584186046512</v>
      </c>
      <c r="K29" s="280">
        <f t="shared" si="16"/>
        <v>264.9584186046512</v>
      </c>
      <c r="M29" s="191"/>
      <c r="N29" s="162" t="s">
        <v>822</v>
      </c>
      <c r="O29" s="163">
        <f>1.6/80</f>
        <v>0.02</v>
      </c>
      <c r="P29" s="164">
        <f>41.8/4.3</f>
        <v>9.720930232558139</v>
      </c>
      <c r="Q29" s="246">
        <f t="shared" si="14"/>
        <v>9.720930232558139</v>
      </c>
      <c r="R29" s="247">
        <f t="shared" si="15"/>
        <v>0.19441860465116279</v>
      </c>
      <c r="S29" s="247">
        <f t="shared" si="15"/>
        <v>0.19441860465116279</v>
      </c>
      <c r="T29" s="247">
        <f t="shared" si="15"/>
        <v>0.19441860465116279</v>
      </c>
      <c r="U29" s="247">
        <f t="shared" si="15"/>
        <v>0.19441860465116279</v>
      </c>
      <c r="V29" s="247">
        <f t="shared" si="15"/>
        <v>0.19441860465116279</v>
      </c>
      <c r="W29" s="247">
        <f t="shared" si="15"/>
        <v>0.19441860465116279</v>
      </c>
    </row>
    <row r="30" spans="1:23" ht="12" customHeight="1">
      <c r="A30" s="191"/>
      <c r="B30" s="180"/>
      <c r="C30" s="180"/>
      <c r="D30" s="171"/>
      <c r="E30" s="157"/>
      <c r="F30" s="171"/>
      <c r="G30" s="244"/>
      <c r="H30" s="157"/>
      <c r="I30" s="157"/>
      <c r="J30" s="244"/>
      <c r="M30" s="191"/>
      <c r="N30" s="166" t="s">
        <v>823</v>
      </c>
      <c r="O30" s="166"/>
      <c r="P30" s="167"/>
      <c r="Q30" s="681"/>
      <c r="R30" s="739">
        <f aca="true" t="shared" si="17" ref="R30:W30">SUM(R24:R29)</f>
        <v>86.45841860465116</v>
      </c>
      <c r="S30" s="280">
        <f t="shared" si="17"/>
        <v>86.45841860465116</v>
      </c>
      <c r="T30" s="280">
        <f t="shared" si="17"/>
        <v>86.45841860465116</v>
      </c>
      <c r="U30" s="280">
        <f t="shared" si="17"/>
        <v>86.45841860465116</v>
      </c>
      <c r="V30" s="280">
        <f t="shared" si="17"/>
        <v>86.45841860465116</v>
      </c>
      <c r="W30" s="280">
        <f t="shared" si="17"/>
        <v>86.45841860465116</v>
      </c>
    </row>
    <row r="31" spans="1:23" ht="12" customHeight="1">
      <c r="A31" s="191"/>
      <c r="B31" s="166" t="s">
        <v>918</v>
      </c>
      <c r="C31" s="170"/>
      <c r="D31" s="180"/>
      <c r="E31" s="157"/>
      <c r="F31" s="740">
        <f aca="true" t="shared" si="18" ref="F31:K31">F21+F29</f>
        <v>1276.9584186046511</v>
      </c>
      <c r="G31" s="741">
        <f t="shared" si="18"/>
        <v>1276.9584186046511</v>
      </c>
      <c r="H31" s="740">
        <f t="shared" si="18"/>
        <v>1276.9584186046511</v>
      </c>
      <c r="I31" s="740">
        <f t="shared" si="18"/>
        <v>1276.9584186046511</v>
      </c>
      <c r="J31" s="742">
        <f t="shared" si="18"/>
        <v>1276.9584186046511</v>
      </c>
      <c r="K31" s="742">
        <f t="shared" si="18"/>
        <v>1276.9584186046511</v>
      </c>
      <c r="M31" s="191"/>
      <c r="N31" s="180"/>
      <c r="O31" s="180"/>
      <c r="P31" s="171"/>
      <c r="Q31" s="157"/>
      <c r="R31" s="250"/>
      <c r="S31" s="743"/>
      <c r="T31" s="744"/>
      <c r="U31" s="744"/>
      <c r="V31" s="743"/>
      <c r="W31" s="743"/>
    </row>
    <row r="32" spans="1:23" ht="12" customHeight="1">
      <c r="A32" s="191"/>
      <c r="B32" s="170"/>
      <c r="C32" s="170"/>
      <c r="D32" s="180"/>
      <c r="E32" s="157"/>
      <c r="F32" s="745"/>
      <c r="G32" s="746"/>
      <c r="H32" s="745"/>
      <c r="I32" s="745"/>
      <c r="J32" s="746"/>
      <c r="M32" s="191"/>
      <c r="N32" s="166" t="s">
        <v>918</v>
      </c>
      <c r="O32" s="170"/>
      <c r="P32" s="180"/>
      <c r="Q32" s="157"/>
      <c r="R32" s="250">
        <f aca="true" t="shared" si="19" ref="R32:W32">R21+R30</f>
        <v>150.85841860465115</v>
      </c>
      <c r="S32" s="282">
        <f t="shared" si="19"/>
        <v>150.85841860465115</v>
      </c>
      <c r="T32" s="250">
        <f t="shared" si="19"/>
        <v>150.85841860465115</v>
      </c>
      <c r="U32" s="250">
        <f t="shared" si="19"/>
        <v>150.85841860465115</v>
      </c>
      <c r="V32" s="282">
        <f t="shared" si="19"/>
        <v>150.85841860465115</v>
      </c>
      <c r="W32" s="282">
        <f t="shared" si="19"/>
        <v>150.85841860465115</v>
      </c>
    </row>
    <row r="33" spans="1:23" ht="12" customHeight="1" thickBot="1">
      <c r="A33" s="191"/>
      <c r="B33" s="166" t="s">
        <v>824</v>
      </c>
      <c r="C33" s="166"/>
      <c r="D33" s="739" t="s">
        <v>825</v>
      </c>
      <c r="E33" s="324"/>
      <c r="F33" s="1149" t="s">
        <v>912</v>
      </c>
      <c r="G33" s="1150"/>
      <c r="H33" s="1150"/>
      <c r="I33" s="1150"/>
      <c r="J33" s="1150"/>
      <c r="K33" s="1151"/>
      <c r="M33" s="191"/>
      <c r="N33" s="170"/>
      <c r="O33" s="170"/>
      <c r="P33" s="180"/>
      <c r="Q33" s="157"/>
      <c r="R33" s="745"/>
      <c r="S33" s="746"/>
      <c r="T33" s="745"/>
      <c r="U33" s="745"/>
      <c r="V33" s="746"/>
      <c r="W33" s="746"/>
    </row>
    <row r="34" spans="1:23" ht="12" customHeight="1" thickBot="1">
      <c r="A34" s="191"/>
      <c r="B34" s="162" t="s">
        <v>826</v>
      </c>
      <c r="C34" s="172">
        <v>0.1</v>
      </c>
      <c r="D34" s="747">
        <f>C34*D8</f>
        <v>202</v>
      </c>
      <c r="E34" s="265">
        <f>1*D34</f>
        <v>202</v>
      </c>
      <c r="F34" s="748">
        <f>$E34*$F7/1000</f>
        <v>363.6</v>
      </c>
      <c r="G34" s="749">
        <f>$E34*G7/1000</f>
        <v>383.8</v>
      </c>
      <c r="H34" s="748">
        <f>$E34*H7/1000</f>
        <v>505</v>
      </c>
      <c r="I34" s="748">
        <f>$E34*I7/1000</f>
        <v>565.6</v>
      </c>
      <c r="J34" s="748">
        <f>$E34*J7/1000</f>
        <v>606</v>
      </c>
      <c r="K34" s="748">
        <f>$E34*K7/1000</f>
        <v>556.308</v>
      </c>
      <c r="M34" s="191"/>
      <c r="N34" s="166" t="s">
        <v>824</v>
      </c>
      <c r="O34" s="170"/>
      <c r="P34" s="250" t="s">
        <v>825</v>
      </c>
      <c r="Q34" s="750"/>
      <c r="R34" s="1135" t="s">
        <v>912</v>
      </c>
      <c r="S34" s="1136"/>
      <c r="T34" s="1136"/>
      <c r="U34" s="1136"/>
      <c r="V34" s="1136"/>
      <c r="W34" s="1137"/>
    </row>
    <row r="35" spans="1:23" ht="12" customHeight="1">
      <c r="A35" s="191"/>
      <c r="B35" s="162" t="s">
        <v>827</v>
      </c>
      <c r="C35" s="172">
        <v>1</v>
      </c>
      <c r="D35" s="747">
        <f>C35*20</f>
        <v>20</v>
      </c>
      <c r="E35" s="265">
        <f>1*D35</f>
        <v>20</v>
      </c>
      <c r="F35" s="751">
        <f aca="true" t="shared" si="20" ref="F35:K35">$E35*F7/1000</f>
        <v>36</v>
      </c>
      <c r="G35" s="752">
        <f t="shared" si="20"/>
        <v>38</v>
      </c>
      <c r="H35" s="751">
        <f t="shared" si="20"/>
        <v>50</v>
      </c>
      <c r="I35" s="751">
        <f t="shared" si="20"/>
        <v>56</v>
      </c>
      <c r="J35" s="751">
        <f t="shared" si="20"/>
        <v>60</v>
      </c>
      <c r="K35" s="751">
        <f t="shared" si="20"/>
        <v>55.08</v>
      </c>
      <c r="M35" s="191"/>
      <c r="N35" s="162" t="s">
        <v>826</v>
      </c>
      <c r="O35" s="172">
        <v>0.1</v>
      </c>
      <c r="P35" s="165">
        <f>O35*P8*$T$5</f>
        <v>13.8125</v>
      </c>
      <c r="Q35" s="306">
        <f>1*P35</f>
        <v>13.8125</v>
      </c>
      <c r="R35" s="167">
        <f aca="true" t="shared" si="21" ref="R35:W35">$Q35*R7/1000</f>
        <v>24.8625</v>
      </c>
      <c r="S35" s="167">
        <f t="shared" si="21"/>
        <v>30.3875</v>
      </c>
      <c r="T35" s="167">
        <f t="shared" si="21"/>
        <v>34.53125</v>
      </c>
      <c r="U35" s="167">
        <f t="shared" si="21"/>
        <v>38.675</v>
      </c>
      <c r="V35" s="167">
        <f t="shared" si="21"/>
        <v>41.4375</v>
      </c>
      <c r="W35" s="167">
        <f t="shared" si="21"/>
        <v>32.459375</v>
      </c>
    </row>
    <row r="36" spans="1:23" ht="12" customHeight="1">
      <c r="A36" s="191"/>
      <c r="B36" s="174" t="s">
        <v>828</v>
      </c>
      <c r="C36" s="175">
        <v>0.01</v>
      </c>
      <c r="D36" s="747">
        <f>C36*D8</f>
        <v>20.2</v>
      </c>
      <c r="E36" s="265">
        <f>1*D36</f>
        <v>20.2</v>
      </c>
      <c r="F36" s="751">
        <f aca="true" t="shared" si="22" ref="F36:K36">$E36*F7/1000</f>
        <v>36.36</v>
      </c>
      <c r="G36" s="752">
        <f t="shared" si="22"/>
        <v>38.38</v>
      </c>
      <c r="H36" s="751">
        <f t="shared" si="22"/>
        <v>50.5</v>
      </c>
      <c r="I36" s="751">
        <f t="shared" si="22"/>
        <v>56.56</v>
      </c>
      <c r="J36" s="751">
        <f t="shared" si="22"/>
        <v>60.6</v>
      </c>
      <c r="K36" s="751">
        <f t="shared" si="22"/>
        <v>55.630799999999994</v>
      </c>
      <c r="M36" s="191"/>
      <c r="N36" s="162" t="s">
        <v>827</v>
      </c>
      <c r="O36" s="172">
        <v>1</v>
      </c>
      <c r="P36" s="155">
        <f>O36*20</f>
        <v>20</v>
      </c>
      <c r="Q36" s="155">
        <f>1*P36</f>
        <v>20</v>
      </c>
      <c r="R36" s="167">
        <f aca="true" t="shared" si="23" ref="R36:W36">$Q36*R7/1000</f>
        <v>36</v>
      </c>
      <c r="S36" s="167">
        <f t="shared" si="23"/>
        <v>44</v>
      </c>
      <c r="T36" s="167">
        <f t="shared" si="23"/>
        <v>50</v>
      </c>
      <c r="U36" s="167">
        <f t="shared" si="23"/>
        <v>56</v>
      </c>
      <c r="V36" s="167">
        <f t="shared" si="23"/>
        <v>60</v>
      </c>
      <c r="W36" s="167">
        <f t="shared" si="23"/>
        <v>47</v>
      </c>
    </row>
    <row r="37" spans="1:23" ht="12" customHeight="1">
      <c r="A37" s="191"/>
      <c r="B37" s="174" t="s">
        <v>520</v>
      </c>
      <c r="C37" s="175">
        <v>0.00121</v>
      </c>
      <c r="D37" s="747">
        <f>C37*D8</f>
        <v>2.4442</v>
      </c>
      <c r="E37" s="265">
        <f>1*D37</f>
        <v>2.4442</v>
      </c>
      <c r="F37" s="751">
        <f aca="true" t="shared" si="24" ref="F37:K37">$E37*F7/1000</f>
        <v>4.399559999999999</v>
      </c>
      <c r="G37" s="752">
        <f t="shared" si="24"/>
        <v>4.64398</v>
      </c>
      <c r="H37" s="751">
        <f t="shared" si="24"/>
        <v>6.1105</v>
      </c>
      <c r="I37" s="751">
        <f t="shared" si="24"/>
        <v>6.8437600000000005</v>
      </c>
      <c r="J37" s="751">
        <f t="shared" si="24"/>
        <v>7.332599999999999</v>
      </c>
      <c r="K37" s="751">
        <f t="shared" si="24"/>
        <v>6.7313268</v>
      </c>
      <c r="M37" s="191"/>
      <c r="N37" s="174" t="s">
        <v>828</v>
      </c>
      <c r="O37" s="175">
        <v>0.01</v>
      </c>
      <c r="P37" s="306">
        <f>O37*P8*T5</f>
        <v>1.3812499999999999</v>
      </c>
      <c r="Q37" s="306">
        <f>1*P37</f>
        <v>1.3812499999999999</v>
      </c>
      <c r="R37" s="167">
        <f aca="true" t="shared" si="25" ref="R37:W37">$Q37*R7/1000</f>
        <v>2.4862499999999996</v>
      </c>
      <c r="S37" s="167">
        <f t="shared" si="25"/>
        <v>3.0387499999999994</v>
      </c>
      <c r="T37" s="167">
        <f t="shared" si="25"/>
        <v>3.4531249999999996</v>
      </c>
      <c r="U37" s="167">
        <f t="shared" si="25"/>
        <v>3.8674999999999997</v>
      </c>
      <c r="V37" s="167">
        <f t="shared" si="25"/>
        <v>4.14375</v>
      </c>
      <c r="W37" s="167">
        <f t="shared" si="25"/>
        <v>3.2459374999999997</v>
      </c>
    </row>
    <row r="38" spans="1:23" ht="12" customHeight="1">
      <c r="A38" s="191"/>
      <c r="B38" s="166" t="s">
        <v>829</v>
      </c>
      <c r="C38" s="176"/>
      <c r="D38" s="753">
        <f aca="true" t="shared" si="26" ref="D38:K38">SUM(D34:D37)</f>
        <v>244.64419999999998</v>
      </c>
      <c r="E38" s="753">
        <f t="shared" si="26"/>
        <v>244.64419999999998</v>
      </c>
      <c r="F38" s="753">
        <f t="shared" si="26"/>
        <v>440.35956000000004</v>
      </c>
      <c r="G38" s="754">
        <f t="shared" si="26"/>
        <v>464.82398</v>
      </c>
      <c r="H38" s="753">
        <f t="shared" si="26"/>
        <v>611.6105</v>
      </c>
      <c r="I38" s="753">
        <f t="shared" si="26"/>
        <v>685.00376</v>
      </c>
      <c r="J38" s="753">
        <f t="shared" si="26"/>
        <v>733.9326</v>
      </c>
      <c r="K38" s="753">
        <f t="shared" si="26"/>
        <v>673.7501268000001</v>
      </c>
      <c r="M38" s="191"/>
      <c r="N38" s="174" t="s">
        <v>520</v>
      </c>
      <c r="O38" s="755">
        <v>0.00121</v>
      </c>
      <c r="P38" s="306">
        <f>O38*P8*T5</f>
        <v>0.16713124999999998</v>
      </c>
      <c r="Q38" s="306">
        <f>1*P38</f>
        <v>0.16713124999999998</v>
      </c>
      <c r="R38" s="167">
        <f aca="true" t="shared" si="27" ref="R38:W38">$Q38*R7/1000</f>
        <v>0.30083624999999997</v>
      </c>
      <c r="S38" s="167">
        <f t="shared" si="27"/>
        <v>0.36768874999999995</v>
      </c>
      <c r="T38" s="167">
        <f t="shared" si="27"/>
        <v>0.41782812499999994</v>
      </c>
      <c r="U38" s="167">
        <f t="shared" si="27"/>
        <v>0.4679675</v>
      </c>
      <c r="V38" s="167">
        <f t="shared" si="27"/>
        <v>0.50139375</v>
      </c>
      <c r="W38" s="167">
        <f t="shared" si="27"/>
        <v>0.39275843749999995</v>
      </c>
    </row>
    <row r="39" spans="1:23" ht="12" customHeight="1">
      <c r="A39" s="191"/>
      <c r="B39" s="180"/>
      <c r="C39" s="157"/>
      <c r="D39" s="756"/>
      <c r="E39" s="157"/>
      <c r="F39" s="171"/>
      <c r="G39" s="244"/>
      <c r="H39" s="157"/>
      <c r="I39" s="157"/>
      <c r="J39" s="244"/>
      <c r="M39" s="191"/>
      <c r="N39" s="166" t="s">
        <v>829</v>
      </c>
      <c r="O39" s="176"/>
      <c r="P39" s="739">
        <f aca="true" t="shared" si="28" ref="P39:W39">SUM(P35:P38)</f>
        <v>35.36088125</v>
      </c>
      <c r="Q39" s="739">
        <f t="shared" si="28"/>
        <v>35.36088125</v>
      </c>
      <c r="R39" s="739">
        <f t="shared" si="28"/>
        <v>63.64958625</v>
      </c>
      <c r="S39" s="280">
        <f t="shared" si="28"/>
        <v>77.79393875</v>
      </c>
      <c r="T39" s="739">
        <f t="shared" si="28"/>
        <v>88.402203125</v>
      </c>
      <c r="U39" s="739">
        <f t="shared" si="28"/>
        <v>99.01046749999999</v>
      </c>
      <c r="V39" s="280">
        <f t="shared" si="28"/>
        <v>106.08264375</v>
      </c>
      <c r="W39" s="280">
        <f t="shared" si="28"/>
        <v>83.0980709375</v>
      </c>
    </row>
    <row r="40" spans="1:23" ht="12" customHeight="1">
      <c r="A40" s="191"/>
      <c r="B40" s="757" t="s">
        <v>921</v>
      </c>
      <c r="C40" s="758"/>
      <c r="D40" s="759"/>
      <c r="E40" s="157"/>
      <c r="F40" s="760">
        <f aca="true" t="shared" si="29" ref="F40:K40">F21+F29+F38</f>
        <v>1717.3179786046512</v>
      </c>
      <c r="G40" s="761">
        <f t="shared" si="29"/>
        <v>1741.782398604651</v>
      </c>
      <c r="H40" s="760">
        <f t="shared" si="29"/>
        <v>1888.5689186046511</v>
      </c>
      <c r="I40" s="760">
        <f t="shared" si="29"/>
        <v>1961.9621786046512</v>
      </c>
      <c r="J40" s="760">
        <f t="shared" si="29"/>
        <v>2010.891018604651</v>
      </c>
      <c r="K40" s="760">
        <f t="shared" si="29"/>
        <v>1950.7085454046512</v>
      </c>
      <c r="M40" s="191"/>
      <c r="N40" s="180"/>
      <c r="O40" s="157"/>
      <c r="P40" s="756"/>
      <c r="Q40" s="157"/>
      <c r="R40" s="171"/>
      <c r="S40" s="244"/>
      <c r="T40" s="157"/>
      <c r="U40" s="157"/>
      <c r="V40" s="244"/>
      <c r="W40" s="244"/>
    </row>
    <row r="41" spans="1:23" ht="12" customHeight="1" thickBot="1">
      <c r="A41" s="191"/>
      <c r="B41" s="257" t="s">
        <v>371</v>
      </c>
      <c r="C41" s="255"/>
      <c r="D41" s="256"/>
      <c r="E41" s="157"/>
      <c r="F41" s="762">
        <f aca="true" t="shared" si="30" ref="F41:K41">F9-F40</f>
        <v>1918.6820213953488</v>
      </c>
      <c r="G41" s="763">
        <f t="shared" si="30"/>
        <v>2096.217601395349</v>
      </c>
      <c r="H41" s="762">
        <f t="shared" si="30"/>
        <v>3161.431081395349</v>
      </c>
      <c r="I41" s="762">
        <f t="shared" si="30"/>
        <v>3694.037821395349</v>
      </c>
      <c r="J41" s="762">
        <f t="shared" si="30"/>
        <v>4049.108981395349</v>
      </c>
      <c r="K41" s="762">
        <f t="shared" si="30"/>
        <v>3612.371454595349</v>
      </c>
      <c r="M41" s="191"/>
      <c r="N41" s="757" t="s">
        <v>921</v>
      </c>
      <c r="O41" s="758"/>
      <c r="P41" s="759"/>
      <c r="Q41" s="157"/>
      <c r="R41" s="171">
        <f aca="true" t="shared" si="31" ref="R41:W41">R21+R30+R39</f>
        <v>214.50800485465115</v>
      </c>
      <c r="S41" s="764">
        <f t="shared" si="31"/>
        <v>228.65235735465114</v>
      </c>
      <c r="T41" s="171">
        <f t="shared" si="31"/>
        <v>239.26062172965115</v>
      </c>
      <c r="U41" s="171">
        <f t="shared" si="31"/>
        <v>249.86888610465115</v>
      </c>
      <c r="V41" s="764">
        <f t="shared" si="31"/>
        <v>256.94106235465114</v>
      </c>
      <c r="W41" s="764">
        <f t="shared" si="31"/>
        <v>233.95648954215113</v>
      </c>
    </row>
    <row r="42" spans="1:23" ht="12" customHeight="1" thickBot="1">
      <c r="A42" s="191"/>
      <c r="B42" s="423" t="s">
        <v>372</v>
      </c>
      <c r="C42" s="765"/>
      <c r="D42" s="765"/>
      <c r="E42" s="766"/>
      <c r="F42" s="767">
        <f aca="true" t="shared" si="32" ref="F42:K42">F41*$C$4</f>
        <v>230241.84256744187</v>
      </c>
      <c r="G42" s="768">
        <f t="shared" si="32"/>
        <v>251546.11216744187</v>
      </c>
      <c r="H42" s="767">
        <f t="shared" si="32"/>
        <v>379371.72976744187</v>
      </c>
      <c r="I42" s="767">
        <f t="shared" si="32"/>
        <v>443284.53856744186</v>
      </c>
      <c r="J42" s="767">
        <f t="shared" si="32"/>
        <v>485893.07776744186</v>
      </c>
      <c r="K42" s="767">
        <f t="shared" si="32"/>
        <v>433484.5745514419</v>
      </c>
      <c r="M42" s="191"/>
      <c r="N42" s="206" t="s">
        <v>922</v>
      </c>
      <c r="O42" s="255"/>
      <c r="P42" s="256"/>
      <c r="Q42" s="157"/>
      <c r="R42" s="171">
        <f aca="true" t="shared" si="33" ref="R42:W42">R9-R41</f>
        <v>34.11699514534885</v>
      </c>
      <c r="S42" s="764">
        <f t="shared" si="33"/>
        <v>75.22264264534886</v>
      </c>
      <c r="T42" s="171">
        <f t="shared" si="33"/>
        <v>106.05187827034885</v>
      </c>
      <c r="U42" s="171">
        <f t="shared" si="33"/>
        <v>136.88111389534885</v>
      </c>
      <c r="V42" s="171">
        <f t="shared" si="33"/>
        <v>157.43393764534886</v>
      </c>
      <c r="W42" s="171">
        <f t="shared" si="33"/>
        <v>90.63726045784887</v>
      </c>
    </row>
    <row r="43" spans="1:23" ht="12" customHeight="1" thickBot="1">
      <c r="A43" s="191"/>
      <c r="B43" s="257" t="s">
        <v>923</v>
      </c>
      <c r="C43" s="769"/>
      <c r="D43" s="770">
        <f>(F31)/(D8-D38)*1000</f>
        <v>719.2690155993807</v>
      </c>
      <c r="F43" s="65"/>
      <c r="G43" s="65"/>
      <c r="H43" s="65"/>
      <c r="I43" s="65"/>
      <c r="J43" s="65"/>
      <c r="K43" s="65"/>
      <c r="M43" s="191"/>
      <c r="N43" s="258" t="s">
        <v>923</v>
      </c>
      <c r="O43" s="258"/>
      <c r="P43" s="771">
        <f>(R32)/(P8*T5-P39)*1000</f>
        <v>1468.0067365891866</v>
      </c>
      <c r="R43" s="772"/>
      <c r="S43" s="772"/>
      <c r="T43" s="772"/>
      <c r="U43" s="772"/>
      <c r="V43" s="772"/>
      <c r="W43" s="772"/>
    </row>
    <row r="44" spans="1:23" ht="12" customHeight="1" thickBot="1">
      <c r="A44" s="191"/>
      <c r="B44" s="260" t="s">
        <v>924</v>
      </c>
      <c r="C44" s="261"/>
      <c r="D44" s="261"/>
      <c r="E44" s="261"/>
      <c r="F44" s="773">
        <f aca="true" t="shared" si="34" ref="F44:K44">(F31+$D$35*F7/1000)/((F7/1000-(F7/1000*($C$34+$C$36+$C$37))))</f>
        <v>820.6903134252755</v>
      </c>
      <c r="G44" s="774">
        <f t="shared" si="34"/>
        <v>778.6804286872875</v>
      </c>
      <c r="H44" s="773">
        <f t="shared" si="34"/>
        <v>597.1977266191793</v>
      </c>
      <c r="I44" s="773">
        <f t="shared" si="34"/>
        <v>535.6232384174999</v>
      </c>
      <c r="J44" s="773">
        <f t="shared" si="34"/>
        <v>501.41518941656676</v>
      </c>
      <c r="K44" s="773">
        <f t="shared" si="34"/>
        <v>544.193882502701</v>
      </c>
      <c r="M44" s="191"/>
      <c r="N44" s="260" t="s">
        <v>924</v>
      </c>
      <c r="O44" s="261"/>
      <c r="P44" s="261"/>
      <c r="Q44" s="261"/>
      <c r="R44" s="775">
        <f aca="true" t="shared" si="35" ref="R44:W44">(R32+$P$36*R7/1000)/((R7/1000-(R7/1000*($O$35+$O$37+$O$38))))/$T$5</f>
        <v>137.41118302694346</v>
      </c>
      <c r="S44" s="775">
        <f t="shared" si="35"/>
        <v>117.24070127947859</v>
      </c>
      <c r="T44" s="775">
        <f t="shared" si="35"/>
        <v>106.34864113584756</v>
      </c>
      <c r="U44" s="775">
        <f t="shared" si="35"/>
        <v>97.79059388013746</v>
      </c>
      <c r="V44" s="775">
        <f t="shared" si="35"/>
        <v>93.03612318252074</v>
      </c>
      <c r="W44" s="775">
        <f t="shared" si="35"/>
        <v>111.4470522669089</v>
      </c>
    </row>
    <row r="45" ht="12" customHeight="1"/>
    <row r="46" spans="2:14" ht="12" customHeight="1">
      <c r="B46" s="776" t="s">
        <v>521</v>
      </c>
      <c r="N46" s="776" t="s">
        <v>521</v>
      </c>
    </row>
    <row r="47" spans="1:13" ht="12.75">
      <c r="A47" s="191"/>
      <c r="M47" s="191"/>
    </row>
    <row r="48" spans="1:13" ht="12.75">
      <c r="A48" s="191"/>
      <c r="M48" s="191"/>
    </row>
    <row r="49" spans="1:23" ht="12.75">
      <c r="A49" s="777"/>
      <c r="B49" s="778"/>
      <c r="C49" s="779"/>
      <c r="D49" s="779"/>
      <c r="E49" s="779"/>
      <c r="F49" s="779"/>
      <c r="G49" s="779"/>
      <c r="H49" s="779"/>
      <c r="I49" s="779"/>
      <c r="J49" s="779"/>
      <c r="K49" s="779"/>
      <c r="L49" s="779"/>
      <c r="M49" s="777"/>
      <c r="N49" s="779"/>
      <c r="O49" s="779"/>
      <c r="P49" s="779"/>
      <c r="Q49" s="779"/>
      <c r="R49" s="779"/>
      <c r="S49" s="779"/>
      <c r="T49" s="779"/>
      <c r="U49" s="779"/>
      <c r="V49" s="779"/>
      <c r="W49" s="779"/>
    </row>
    <row r="50" spans="1:23" ht="15.75">
      <c r="A50" s="1131" t="s">
        <v>511</v>
      </c>
      <c r="B50" s="1131"/>
      <c r="C50" s="1131"/>
      <c r="D50" s="1131"/>
      <c r="E50" s="1131"/>
      <c r="F50" s="1131"/>
      <c r="G50" s="1131"/>
      <c r="H50" s="1131"/>
      <c r="I50" s="1131"/>
      <c r="J50" s="1131"/>
      <c r="K50" s="1131"/>
      <c r="M50" s="1131" t="s">
        <v>511</v>
      </c>
      <c r="N50" s="1131"/>
      <c r="O50" s="1131"/>
      <c r="P50" s="1131"/>
      <c r="Q50" s="1131"/>
      <c r="R50" s="1131"/>
      <c r="S50" s="1131"/>
      <c r="T50" s="1131"/>
      <c r="U50" s="1131"/>
      <c r="V50" s="1131"/>
      <c r="W50" s="1131"/>
    </row>
    <row r="51" spans="1:18" ht="12.75">
      <c r="A51" s="191"/>
      <c r="B51" s="704" t="s">
        <v>898</v>
      </c>
      <c r="C51" s="705" t="s">
        <v>284</v>
      </c>
      <c r="E51" s="194"/>
      <c r="F51" s="194"/>
      <c r="M51" s="191"/>
      <c r="N51" s="704" t="s">
        <v>898</v>
      </c>
      <c r="O51" s="705" t="s">
        <v>284</v>
      </c>
      <c r="Q51" s="194"/>
      <c r="R51" s="194"/>
    </row>
    <row r="52" spans="1:17" ht="12.75">
      <c r="A52" s="191"/>
      <c r="B52" s="706" t="s">
        <v>899</v>
      </c>
      <c r="C52" s="707"/>
      <c r="E52" s="196" t="s">
        <v>285</v>
      </c>
      <c r="M52" s="191"/>
      <c r="N52" s="706" t="s">
        <v>899</v>
      </c>
      <c r="O52" s="780"/>
      <c r="Q52" s="196" t="s">
        <v>285</v>
      </c>
    </row>
    <row r="53" spans="1:22" ht="12" customHeight="1" thickBot="1">
      <c r="A53" s="191"/>
      <c r="B53" s="197"/>
      <c r="C53" s="197"/>
      <c r="D53" s="197"/>
      <c r="F53" s="1143" t="s">
        <v>282</v>
      </c>
      <c r="G53" s="1144"/>
      <c r="H53" s="1144"/>
      <c r="I53" s="1144"/>
      <c r="J53" s="1144"/>
      <c r="K53" s="1145"/>
      <c r="M53" s="191"/>
      <c r="N53" s="197"/>
      <c r="O53" s="197"/>
      <c r="P53" s="197"/>
      <c r="R53" s="180"/>
      <c r="S53" s="25" t="s">
        <v>327</v>
      </c>
      <c r="T53" s="198">
        <v>0.85</v>
      </c>
      <c r="U53" s="157"/>
      <c r="V53" s="157"/>
    </row>
    <row r="54" spans="1:23" ht="12" customHeight="1" thickBot="1">
      <c r="A54" s="191"/>
      <c r="B54" s="708" t="s">
        <v>901</v>
      </c>
      <c r="C54" s="709"/>
      <c r="D54" s="201" t="s">
        <v>902</v>
      </c>
      <c r="F54" s="1143" t="s">
        <v>903</v>
      </c>
      <c r="G54" s="1144"/>
      <c r="H54" s="1144"/>
      <c r="I54" s="1144"/>
      <c r="J54" s="1145"/>
      <c r="K54" s="209" t="s">
        <v>904</v>
      </c>
      <c r="M54" s="191"/>
      <c r="N54" s="199" t="s">
        <v>901</v>
      </c>
      <c r="O54" s="200"/>
      <c r="P54" s="201" t="s">
        <v>902</v>
      </c>
      <c r="R54" s="1132" t="s">
        <v>903</v>
      </c>
      <c r="S54" s="1133"/>
      <c r="T54" s="1133"/>
      <c r="U54" s="1133"/>
      <c r="V54" s="1134"/>
      <c r="W54" s="712" t="s">
        <v>904</v>
      </c>
    </row>
    <row r="55" spans="1:23" ht="12" customHeight="1">
      <c r="A55" s="191"/>
      <c r="B55" s="713"/>
      <c r="C55" s="714"/>
      <c r="D55" s="206" t="s">
        <v>905</v>
      </c>
      <c r="F55" s="715">
        <v>1800</v>
      </c>
      <c r="G55" s="781">
        <v>1850</v>
      </c>
      <c r="H55" s="715">
        <v>2500</v>
      </c>
      <c r="I55" s="159">
        <v>2800</v>
      </c>
      <c r="J55" s="718">
        <v>3000</v>
      </c>
      <c r="K55" s="159">
        <v>2000</v>
      </c>
      <c r="M55" s="191"/>
      <c r="N55" s="204"/>
      <c r="O55" s="205"/>
      <c r="P55" s="206" t="s">
        <v>905</v>
      </c>
      <c r="R55" s="207">
        <v>1800</v>
      </c>
      <c r="S55" s="208">
        <v>2200</v>
      </c>
      <c r="T55" s="207">
        <v>2500</v>
      </c>
      <c r="U55" s="209">
        <v>2800</v>
      </c>
      <c r="V55" s="210">
        <v>3000</v>
      </c>
      <c r="W55" s="159">
        <v>2400</v>
      </c>
    </row>
    <row r="56" spans="1:22" ht="12" customHeight="1">
      <c r="A56" s="191"/>
      <c r="B56" s="180" t="s">
        <v>906</v>
      </c>
      <c r="C56" s="211"/>
      <c r="D56" s="212">
        <v>162.5</v>
      </c>
      <c r="F56" s="213"/>
      <c r="G56" s="721"/>
      <c r="H56" s="215"/>
      <c r="I56" s="215"/>
      <c r="J56" s="214"/>
      <c r="M56" s="191"/>
      <c r="N56" s="180" t="s">
        <v>906</v>
      </c>
      <c r="O56" s="211"/>
      <c r="P56" s="212">
        <v>162.5</v>
      </c>
      <c r="R56" s="213"/>
      <c r="S56" s="214"/>
      <c r="T56" s="215"/>
      <c r="U56" s="215"/>
      <c r="V56" s="214"/>
    </row>
    <row r="57" spans="1:23" ht="12" customHeight="1">
      <c r="A57" s="191"/>
      <c r="B57" s="216" t="s">
        <v>907</v>
      </c>
      <c r="C57" s="217"/>
      <c r="D57" s="218"/>
      <c r="F57" s="219">
        <f aca="true" t="shared" si="36" ref="F57:K57">F55*$D$56/1000</f>
        <v>292.5</v>
      </c>
      <c r="G57" s="722">
        <f t="shared" si="36"/>
        <v>300.625</v>
      </c>
      <c r="H57" s="219">
        <f t="shared" si="36"/>
        <v>406.25</v>
      </c>
      <c r="I57" s="219">
        <f t="shared" si="36"/>
        <v>455</v>
      </c>
      <c r="J57" s="219">
        <f t="shared" si="36"/>
        <v>487.5</v>
      </c>
      <c r="K57" s="219">
        <f t="shared" si="36"/>
        <v>325</v>
      </c>
      <c r="M57" s="191"/>
      <c r="N57" s="216" t="s">
        <v>907</v>
      </c>
      <c r="O57" s="217"/>
      <c r="P57" s="218"/>
      <c r="R57" s="219">
        <f aca="true" t="shared" si="37" ref="R57:W57">R55*$P$56*$T$53/1000</f>
        <v>248.625</v>
      </c>
      <c r="S57" s="219">
        <f t="shared" si="37"/>
        <v>303.875</v>
      </c>
      <c r="T57" s="219">
        <f t="shared" si="37"/>
        <v>345.3125</v>
      </c>
      <c r="U57" s="219">
        <f t="shared" si="37"/>
        <v>386.75</v>
      </c>
      <c r="V57" s="219">
        <f t="shared" si="37"/>
        <v>414.375</v>
      </c>
      <c r="W57" s="219">
        <f t="shared" si="37"/>
        <v>331.5</v>
      </c>
    </row>
    <row r="58" spans="1:23" ht="12" customHeight="1" thickBot="1">
      <c r="A58" s="191"/>
      <c r="B58" s="216" t="s">
        <v>908</v>
      </c>
      <c r="C58" s="217"/>
      <c r="D58" s="220"/>
      <c r="F58" s="221"/>
      <c r="G58" s="222"/>
      <c r="J58" s="65"/>
      <c r="M58" s="191"/>
      <c r="N58" s="216" t="s">
        <v>908</v>
      </c>
      <c r="O58" s="217"/>
      <c r="P58" s="220"/>
      <c r="R58" s="221"/>
      <c r="S58" s="222"/>
      <c r="V58" s="65"/>
      <c r="W58" s="65"/>
    </row>
    <row r="59" spans="1:23" ht="12" customHeight="1" thickBot="1">
      <c r="A59" s="191"/>
      <c r="B59" s="724" t="s">
        <v>909</v>
      </c>
      <c r="C59" s="164">
        <v>18</v>
      </c>
      <c r="G59" s="224"/>
      <c r="J59" s="65"/>
      <c r="M59" s="191"/>
      <c r="N59" s="724" t="s">
        <v>909</v>
      </c>
      <c r="O59" s="164">
        <v>14</v>
      </c>
      <c r="S59" s="224"/>
      <c r="V59" s="65"/>
      <c r="W59" s="65"/>
    </row>
    <row r="60" spans="1:23" ht="12" customHeight="1" thickBot="1">
      <c r="A60" s="161" t="s">
        <v>864</v>
      </c>
      <c r="B60" s="227" t="s">
        <v>1118</v>
      </c>
      <c r="C60" s="227" t="s">
        <v>817</v>
      </c>
      <c r="D60" s="219" t="s">
        <v>910</v>
      </c>
      <c r="E60" s="727" t="s">
        <v>911</v>
      </c>
      <c r="F60" s="1135" t="s">
        <v>912</v>
      </c>
      <c r="G60" s="1136"/>
      <c r="H60" s="1136"/>
      <c r="I60" s="1136"/>
      <c r="J60" s="1136"/>
      <c r="K60" s="1137"/>
      <c r="M60" s="155" t="s">
        <v>512</v>
      </c>
      <c r="N60" s="726"/>
      <c r="O60" s="227" t="s">
        <v>817</v>
      </c>
      <c r="P60" s="219" t="s">
        <v>910</v>
      </c>
      <c r="Q60" s="160" t="s">
        <v>911</v>
      </c>
      <c r="R60" s="1135" t="s">
        <v>912</v>
      </c>
      <c r="S60" s="1136"/>
      <c r="T60" s="1136"/>
      <c r="U60" s="1136"/>
      <c r="V60" s="1136"/>
      <c r="W60" s="1137"/>
    </row>
    <row r="61" spans="1:23" ht="12" customHeight="1">
      <c r="A61" s="225">
        <v>18</v>
      </c>
      <c r="B61" s="234" t="str">
        <f>IF($A61&lt;&gt;0,VLOOKUP($A61,equi,2),"")</f>
        <v>Siembra Gruesa - Labranza Cero</v>
      </c>
      <c r="C61" s="232">
        <v>1</v>
      </c>
      <c r="D61" s="235">
        <f>IF($A61&lt;&gt;0,VLOOKUP($A61,equi,3),"")</f>
        <v>0.65</v>
      </c>
      <c r="E61" s="165">
        <f>D61*$C$59</f>
        <v>11.700000000000001</v>
      </c>
      <c r="F61" s="782">
        <f aca="true" t="shared" si="38" ref="F61:K63">$E61*$C61</f>
        <v>11.700000000000001</v>
      </c>
      <c r="G61" s="783">
        <f t="shared" si="38"/>
        <v>11.700000000000001</v>
      </c>
      <c r="H61" s="782">
        <f t="shared" si="38"/>
        <v>11.700000000000001</v>
      </c>
      <c r="I61" s="782">
        <f t="shared" si="38"/>
        <v>11.700000000000001</v>
      </c>
      <c r="J61" s="782">
        <f t="shared" si="38"/>
        <v>11.700000000000001</v>
      </c>
      <c r="K61" s="782">
        <f t="shared" si="38"/>
        <v>11.700000000000001</v>
      </c>
      <c r="M61" s="225">
        <v>18</v>
      </c>
      <c r="N61" s="784" t="str">
        <f>IF($M61&lt;&gt;0,VLOOKUP($M61,equi,2),"")</f>
        <v>Siembra Gruesa - Labranza Cero</v>
      </c>
      <c r="O61" s="232">
        <v>1</v>
      </c>
      <c r="P61" s="235">
        <f>IF($M61&lt;&gt;0,VLOOKUP($M61,equi,3),"")</f>
        <v>0.65</v>
      </c>
      <c r="Q61" s="165">
        <f>P61*$O$59</f>
        <v>9.1</v>
      </c>
      <c r="R61" s="785">
        <f aca="true" t="shared" si="39" ref="R61:W63">$O61*$Q61</f>
        <v>9.1</v>
      </c>
      <c r="S61" s="785">
        <f t="shared" si="39"/>
        <v>9.1</v>
      </c>
      <c r="T61" s="785">
        <f t="shared" si="39"/>
        <v>9.1</v>
      </c>
      <c r="U61" s="785">
        <f t="shared" si="39"/>
        <v>9.1</v>
      </c>
      <c r="V61" s="785">
        <f t="shared" si="39"/>
        <v>9.1</v>
      </c>
      <c r="W61" s="785">
        <f t="shared" si="39"/>
        <v>9.1</v>
      </c>
    </row>
    <row r="62" spans="1:23" ht="12" customHeight="1">
      <c r="A62" s="225">
        <v>22</v>
      </c>
      <c r="B62" s="234" t="str">
        <f>IF($A62&lt;&gt;0,VLOOKUP($A62,equi,2),"")</f>
        <v>Pulverización Terrestre p/Herbicidas y Defoliantes</v>
      </c>
      <c r="C62" s="232">
        <v>2</v>
      </c>
      <c r="D62" s="235">
        <f>IF($A62&lt;&gt;0,VLOOKUP($A62,equi,3),"")</f>
        <v>0.25</v>
      </c>
      <c r="E62" s="165">
        <f>D62*$C$59</f>
        <v>4.5</v>
      </c>
      <c r="F62" s="785">
        <f t="shared" si="38"/>
        <v>9</v>
      </c>
      <c r="G62" s="786">
        <f t="shared" si="38"/>
        <v>9</v>
      </c>
      <c r="H62" s="785">
        <f t="shared" si="38"/>
        <v>9</v>
      </c>
      <c r="I62" s="785">
        <f t="shared" si="38"/>
        <v>9</v>
      </c>
      <c r="J62" s="785">
        <f t="shared" si="38"/>
        <v>9</v>
      </c>
      <c r="K62" s="785">
        <f t="shared" si="38"/>
        <v>9</v>
      </c>
      <c r="M62" s="225">
        <v>22</v>
      </c>
      <c r="N62" s="784" t="str">
        <f>IF($M62&lt;&gt;0,VLOOKUP($M62,equi,2),"")</f>
        <v>Pulverización Terrestre p/Herbicidas y Defoliantes</v>
      </c>
      <c r="O62" s="232">
        <v>2</v>
      </c>
      <c r="P62" s="235">
        <f>IF($M62&lt;&gt;0,VLOOKUP($M62,equi,3),"")</f>
        <v>0.25</v>
      </c>
      <c r="Q62" s="165">
        <f>P62*$O$59</f>
        <v>3.5</v>
      </c>
      <c r="R62" s="785">
        <f t="shared" si="39"/>
        <v>7</v>
      </c>
      <c r="S62" s="785">
        <f t="shared" si="39"/>
        <v>7</v>
      </c>
      <c r="T62" s="785">
        <f t="shared" si="39"/>
        <v>7</v>
      </c>
      <c r="U62" s="785">
        <f t="shared" si="39"/>
        <v>7</v>
      </c>
      <c r="V62" s="785">
        <f t="shared" si="39"/>
        <v>7</v>
      </c>
      <c r="W62" s="785">
        <f t="shared" si="39"/>
        <v>7</v>
      </c>
    </row>
    <row r="63" spans="1:23" ht="12" customHeight="1">
      <c r="A63" s="225">
        <v>23</v>
      </c>
      <c r="B63" s="234" t="str">
        <f>IF($A63&lt;&gt;0,VLOOKUP($A63,equi,2),"")</f>
        <v>Pulverización Terrestre p/Insecticidas</v>
      </c>
      <c r="C63" s="232">
        <v>3</v>
      </c>
      <c r="D63" s="235">
        <f>IF($A63&lt;&gt;0,VLOOKUP($A63,equi,3),"")</f>
        <v>0.3</v>
      </c>
      <c r="E63" s="165">
        <f>D63*$C$59</f>
        <v>5.3999999999999995</v>
      </c>
      <c r="F63" s="785">
        <f t="shared" si="38"/>
        <v>16.2</v>
      </c>
      <c r="G63" s="786">
        <f t="shared" si="38"/>
        <v>16.2</v>
      </c>
      <c r="H63" s="785">
        <f t="shared" si="38"/>
        <v>16.2</v>
      </c>
      <c r="I63" s="785">
        <f t="shared" si="38"/>
        <v>16.2</v>
      </c>
      <c r="J63" s="785">
        <f t="shared" si="38"/>
        <v>16.2</v>
      </c>
      <c r="K63" s="785">
        <f t="shared" si="38"/>
        <v>16.2</v>
      </c>
      <c r="M63" s="225">
        <v>23</v>
      </c>
      <c r="N63" s="784" t="str">
        <f>IF($M63&lt;&gt;0,VLOOKUP($M63,equi,2),"")</f>
        <v>Pulverización Terrestre p/Insecticidas</v>
      </c>
      <c r="O63" s="232">
        <v>3</v>
      </c>
      <c r="P63" s="235">
        <f>IF($M63&lt;&gt;0,VLOOKUP($M63,equi,3),"")</f>
        <v>0.3</v>
      </c>
      <c r="Q63" s="165">
        <f>P63*$O$59</f>
        <v>4.2</v>
      </c>
      <c r="R63" s="785">
        <f t="shared" si="39"/>
        <v>12.600000000000001</v>
      </c>
      <c r="S63" s="785">
        <f t="shared" si="39"/>
        <v>12.600000000000001</v>
      </c>
      <c r="T63" s="785">
        <f t="shared" si="39"/>
        <v>12.600000000000001</v>
      </c>
      <c r="U63" s="785">
        <f t="shared" si="39"/>
        <v>12.600000000000001</v>
      </c>
      <c r="V63" s="785">
        <f t="shared" si="39"/>
        <v>12.600000000000001</v>
      </c>
      <c r="W63" s="785">
        <f t="shared" si="39"/>
        <v>12.600000000000001</v>
      </c>
    </row>
    <row r="64" spans="1:23" ht="12" customHeight="1">
      <c r="A64" s="225"/>
      <c r="B64" s="166" t="s">
        <v>913</v>
      </c>
      <c r="C64" s="166"/>
      <c r="D64" s="236"/>
      <c r="E64" s="237"/>
      <c r="F64" s="787">
        <f aca="true" t="shared" si="40" ref="F64:K64">SUM(F61:F63)</f>
        <v>36.900000000000006</v>
      </c>
      <c r="G64" s="788">
        <f t="shared" si="40"/>
        <v>36.900000000000006</v>
      </c>
      <c r="H64" s="789">
        <f t="shared" si="40"/>
        <v>36.900000000000006</v>
      </c>
      <c r="I64" s="789">
        <f t="shared" si="40"/>
        <v>36.900000000000006</v>
      </c>
      <c r="J64" s="790">
        <f t="shared" si="40"/>
        <v>36.900000000000006</v>
      </c>
      <c r="K64" s="790">
        <f t="shared" si="40"/>
        <v>36.900000000000006</v>
      </c>
      <c r="M64" s="225"/>
      <c r="N64" s="166" t="s">
        <v>913</v>
      </c>
      <c r="O64" s="166"/>
      <c r="P64" s="236"/>
      <c r="Q64" s="237"/>
      <c r="R64" s="238">
        <f aca="true" t="shared" si="41" ref="R64:W64">SUM(R61:R63)</f>
        <v>28.700000000000003</v>
      </c>
      <c r="S64" s="239">
        <f t="shared" si="41"/>
        <v>28.700000000000003</v>
      </c>
      <c r="T64" s="240">
        <f t="shared" si="41"/>
        <v>28.700000000000003</v>
      </c>
      <c r="U64" s="240">
        <f t="shared" si="41"/>
        <v>28.700000000000003</v>
      </c>
      <c r="V64" s="239">
        <f t="shared" si="41"/>
        <v>28.700000000000003</v>
      </c>
      <c r="W64" s="239">
        <f t="shared" si="41"/>
        <v>28.700000000000003</v>
      </c>
    </row>
    <row r="65" spans="1:23" ht="12" customHeight="1" thickBot="1">
      <c r="A65" s="191"/>
      <c r="B65" s="791"/>
      <c r="C65" s="792"/>
      <c r="D65" s="241"/>
      <c r="F65" s="242"/>
      <c r="G65" s="793"/>
      <c r="J65" s="65"/>
      <c r="M65" s="191"/>
      <c r="N65" s="166"/>
      <c r="O65" s="170"/>
      <c r="P65" s="241"/>
      <c r="Q65" s="157"/>
      <c r="R65" s="242"/>
      <c r="S65" s="243"/>
      <c r="T65" s="157"/>
      <c r="U65" s="157"/>
      <c r="V65" s="244"/>
      <c r="W65" s="244"/>
    </row>
    <row r="66" spans="1:23" ht="12" customHeight="1" thickBot="1">
      <c r="A66" s="191"/>
      <c r="B66" s="734"/>
      <c r="C66" s="170" t="s">
        <v>817</v>
      </c>
      <c r="D66" s="245" t="s">
        <v>915</v>
      </c>
      <c r="E66" s="245" t="s">
        <v>916</v>
      </c>
      <c r="F66" s="1152" t="s">
        <v>912</v>
      </c>
      <c r="G66" s="1153"/>
      <c r="H66" s="1153"/>
      <c r="I66" s="1153"/>
      <c r="J66" s="1153"/>
      <c r="K66" s="1154"/>
      <c r="M66" s="191"/>
      <c r="N66" s="166"/>
      <c r="O66" s="170" t="s">
        <v>817</v>
      </c>
      <c r="P66" s="245" t="s">
        <v>915</v>
      </c>
      <c r="Q66" s="245" t="s">
        <v>916</v>
      </c>
      <c r="R66" s="1135" t="s">
        <v>912</v>
      </c>
      <c r="S66" s="1136"/>
      <c r="T66" s="1136"/>
      <c r="U66" s="1136"/>
      <c r="V66" s="1136"/>
      <c r="W66" s="1137"/>
    </row>
    <row r="67" spans="1:23" ht="12" customHeight="1">
      <c r="A67" s="191"/>
      <c r="B67" s="162" t="s">
        <v>818</v>
      </c>
      <c r="C67" s="163">
        <v>70</v>
      </c>
      <c r="D67" s="164">
        <v>0.49</v>
      </c>
      <c r="E67" s="246">
        <f>1*D67</f>
        <v>0.49</v>
      </c>
      <c r="F67" s="794">
        <f aca="true" t="shared" si="42" ref="F67:K71">$C67*$E67</f>
        <v>34.3</v>
      </c>
      <c r="G67" s="730">
        <f t="shared" si="42"/>
        <v>34.3</v>
      </c>
      <c r="H67" s="794">
        <f t="shared" si="42"/>
        <v>34.3</v>
      </c>
      <c r="I67" s="794">
        <f t="shared" si="42"/>
        <v>34.3</v>
      </c>
      <c r="J67" s="794">
        <f t="shared" si="42"/>
        <v>34.3</v>
      </c>
      <c r="K67" s="794">
        <f t="shared" si="42"/>
        <v>34.3</v>
      </c>
      <c r="M67" s="191"/>
      <c r="N67" s="162" t="s">
        <v>818</v>
      </c>
      <c r="O67" s="163">
        <v>70</v>
      </c>
      <c r="P67" s="164">
        <v>0.49</v>
      </c>
      <c r="Q67" s="246">
        <f>1*P67</f>
        <v>0.49</v>
      </c>
      <c r="R67" s="247">
        <f aca="true" t="shared" si="43" ref="R67:W71">$O67*$Q67</f>
        <v>34.3</v>
      </c>
      <c r="S67" s="247">
        <f t="shared" si="43"/>
        <v>34.3</v>
      </c>
      <c r="T67" s="247">
        <f t="shared" si="43"/>
        <v>34.3</v>
      </c>
      <c r="U67" s="247">
        <f t="shared" si="43"/>
        <v>34.3</v>
      </c>
      <c r="V67" s="247">
        <f t="shared" si="43"/>
        <v>34.3</v>
      </c>
      <c r="W67" s="247">
        <f t="shared" si="43"/>
        <v>34.3</v>
      </c>
    </row>
    <row r="68" spans="1:23" ht="12" customHeight="1">
      <c r="A68" s="191"/>
      <c r="B68" s="162" t="s">
        <v>830</v>
      </c>
      <c r="C68" s="163">
        <v>5</v>
      </c>
      <c r="D68" s="164">
        <v>3.5</v>
      </c>
      <c r="E68" s="246">
        <f>1*D68</f>
        <v>3.5</v>
      </c>
      <c r="F68" s="247">
        <f t="shared" si="42"/>
        <v>17.5</v>
      </c>
      <c r="G68" s="736">
        <f t="shared" si="42"/>
        <v>17.5</v>
      </c>
      <c r="H68" s="247">
        <f t="shared" si="42"/>
        <v>17.5</v>
      </c>
      <c r="I68" s="247">
        <f t="shared" si="42"/>
        <v>17.5</v>
      </c>
      <c r="J68" s="247">
        <f t="shared" si="42"/>
        <v>17.5</v>
      </c>
      <c r="K68" s="247">
        <f t="shared" si="42"/>
        <v>17.5</v>
      </c>
      <c r="M68" s="191"/>
      <c r="N68" s="162" t="s">
        <v>830</v>
      </c>
      <c r="O68" s="163">
        <v>5</v>
      </c>
      <c r="P68" s="164">
        <v>3.5</v>
      </c>
      <c r="Q68" s="246">
        <f>1*P68</f>
        <v>3.5</v>
      </c>
      <c r="R68" s="247">
        <f t="shared" si="43"/>
        <v>17.5</v>
      </c>
      <c r="S68" s="247">
        <f t="shared" si="43"/>
        <v>17.5</v>
      </c>
      <c r="T68" s="247">
        <f t="shared" si="43"/>
        <v>17.5</v>
      </c>
      <c r="U68" s="247">
        <f t="shared" si="43"/>
        <v>17.5</v>
      </c>
      <c r="V68" s="247">
        <f t="shared" si="43"/>
        <v>17.5</v>
      </c>
      <c r="W68" s="247">
        <f t="shared" si="43"/>
        <v>17.5</v>
      </c>
    </row>
    <row r="69" spans="1:23" ht="12" customHeight="1">
      <c r="A69" s="191"/>
      <c r="B69" s="162" t="s">
        <v>820</v>
      </c>
      <c r="C69" s="163">
        <v>1.8</v>
      </c>
      <c r="D69" s="164">
        <v>6.28</v>
      </c>
      <c r="E69" s="246">
        <f>1*D69</f>
        <v>6.28</v>
      </c>
      <c r="F69" s="247">
        <f t="shared" si="42"/>
        <v>11.304</v>
      </c>
      <c r="G69" s="736">
        <f t="shared" si="42"/>
        <v>11.304</v>
      </c>
      <c r="H69" s="247">
        <f t="shared" si="42"/>
        <v>11.304</v>
      </c>
      <c r="I69" s="247">
        <f t="shared" si="42"/>
        <v>11.304</v>
      </c>
      <c r="J69" s="247">
        <f t="shared" si="42"/>
        <v>11.304</v>
      </c>
      <c r="K69" s="247">
        <f t="shared" si="42"/>
        <v>11.304</v>
      </c>
      <c r="M69" s="191"/>
      <c r="N69" s="162" t="s">
        <v>820</v>
      </c>
      <c r="O69" s="163">
        <v>1.8</v>
      </c>
      <c r="P69" s="164">
        <v>6.28</v>
      </c>
      <c r="Q69" s="246">
        <f>1*P69</f>
        <v>6.28</v>
      </c>
      <c r="R69" s="247">
        <f t="shared" si="43"/>
        <v>11.304</v>
      </c>
      <c r="S69" s="247">
        <f t="shared" si="43"/>
        <v>11.304</v>
      </c>
      <c r="T69" s="247">
        <f t="shared" si="43"/>
        <v>11.304</v>
      </c>
      <c r="U69" s="247">
        <f t="shared" si="43"/>
        <v>11.304</v>
      </c>
      <c r="V69" s="247">
        <f t="shared" si="43"/>
        <v>11.304</v>
      </c>
      <c r="W69" s="247">
        <f t="shared" si="43"/>
        <v>11.304</v>
      </c>
    </row>
    <row r="70" spans="1:23" ht="12" customHeight="1">
      <c r="A70" s="191"/>
      <c r="B70" s="162" t="s">
        <v>821</v>
      </c>
      <c r="C70" s="163">
        <v>0.06</v>
      </c>
      <c r="D70" s="164">
        <v>21</v>
      </c>
      <c r="E70" s="246">
        <f>1*D70</f>
        <v>21</v>
      </c>
      <c r="F70" s="247">
        <f t="shared" si="42"/>
        <v>1.26</v>
      </c>
      <c r="G70" s="736">
        <f t="shared" si="42"/>
        <v>1.26</v>
      </c>
      <c r="H70" s="247">
        <f t="shared" si="42"/>
        <v>1.26</v>
      </c>
      <c r="I70" s="247">
        <f t="shared" si="42"/>
        <v>1.26</v>
      </c>
      <c r="J70" s="247">
        <f t="shared" si="42"/>
        <v>1.26</v>
      </c>
      <c r="K70" s="247">
        <f t="shared" si="42"/>
        <v>1.26</v>
      </c>
      <c r="M70" s="191"/>
      <c r="N70" s="162" t="s">
        <v>821</v>
      </c>
      <c r="O70" s="163">
        <v>0.06</v>
      </c>
      <c r="P70" s="164">
        <v>21</v>
      </c>
      <c r="Q70" s="246">
        <f>1*P70</f>
        <v>21</v>
      </c>
      <c r="R70" s="247">
        <f t="shared" si="43"/>
        <v>1.26</v>
      </c>
      <c r="S70" s="247">
        <f t="shared" si="43"/>
        <v>1.26</v>
      </c>
      <c r="T70" s="247">
        <f t="shared" si="43"/>
        <v>1.26</v>
      </c>
      <c r="U70" s="247">
        <f t="shared" si="43"/>
        <v>1.26</v>
      </c>
      <c r="V70" s="247">
        <f t="shared" si="43"/>
        <v>1.26</v>
      </c>
      <c r="W70" s="247">
        <f t="shared" si="43"/>
        <v>1.26</v>
      </c>
    </row>
    <row r="71" spans="1:23" ht="12" customHeight="1">
      <c r="A71" s="191"/>
      <c r="B71" s="162" t="s">
        <v>822</v>
      </c>
      <c r="C71" s="163">
        <f>1.6/80</f>
        <v>0.02</v>
      </c>
      <c r="D71" s="164">
        <f>41.8/4.3</f>
        <v>9.720930232558139</v>
      </c>
      <c r="E71" s="246">
        <f>1*D71</f>
        <v>9.720930232558139</v>
      </c>
      <c r="F71" s="247">
        <f t="shared" si="42"/>
        <v>0.19441860465116279</v>
      </c>
      <c r="G71" s="736">
        <f t="shared" si="42"/>
        <v>0.19441860465116279</v>
      </c>
      <c r="H71" s="247">
        <f t="shared" si="42"/>
        <v>0.19441860465116279</v>
      </c>
      <c r="I71" s="247">
        <f t="shared" si="42"/>
        <v>0.19441860465116279</v>
      </c>
      <c r="J71" s="247">
        <f t="shared" si="42"/>
        <v>0.19441860465116279</v>
      </c>
      <c r="K71" s="247">
        <f t="shared" si="42"/>
        <v>0.19441860465116279</v>
      </c>
      <c r="M71" s="191"/>
      <c r="N71" s="162" t="s">
        <v>822</v>
      </c>
      <c r="O71" s="163">
        <f>1.6/80</f>
        <v>0.02</v>
      </c>
      <c r="P71" s="164">
        <f>41.8/4.3</f>
        <v>9.720930232558139</v>
      </c>
      <c r="Q71" s="246">
        <f>1*P71</f>
        <v>9.720930232558139</v>
      </c>
      <c r="R71" s="247">
        <f t="shared" si="43"/>
        <v>0.19441860465116279</v>
      </c>
      <c r="S71" s="247">
        <f t="shared" si="43"/>
        <v>0.19441860465116279</v>
      </c>
      <c r="T71" s="247">
        <f t="shared" si="43"/>
        <v>0.19441860465116279</v>
      </c>
      <c r="U71" s="247">
        <f t="shared" si="43"/>
        <v>0.19441860465116279</v>
      </c>
      <c r="V71" s="247">
        <f t="shared" si="43"/>
        <v>0.19441860465116279</v>
      </c>
      <c r="W71" s="247">
        <f t="shared" si="43"/>
        <v>0.19441860465116279</v>
      </c>
    </row>
    <row r="72" spans="1:23" ht="12" customHeight="1">
      <c r="A72" s="191"/>
      <c r="B72" s="166" t="s">
        <v>823</v>
      </c>
      <c r="C72" s="166"/>
      <c r="D72" s="167"/>
      <c r="E72" s="681"/>
      <c r="F72" s="167">
        <f aca="true" t="shared" si="44" ref="F72:K72">SUM(F67:F71)</f>
        <v>64.55841860465117</v>
      </c>
      <c r="G72" s="795">
        <f t="shared" si="44"/>
        <v>64.55841860465117</v>
      </c>
      <c r="H72" s="167">
        <f t="shared" si="44"/>
        <v>64.55841860465117</v>
      </c>
      <c r="I72" s="167">
        <f t="shared" si="44"/>
        <v>64.55841860465117</v>
      </c>
      <c r="J72" s="279">
        <f t="shared" si="44"/>
        <v>64.55841860465117</v>
      </c>
      <c r="K72" s="279">
        <f t="shared" si="44"/>
        <v>64.55841860465117</v>
      </c>
      <c r="M72" s="191"/>
      <c r="N72" s="166" t="s">
        <v>823</v>
      </c>
      <c r="O72" s="166"/>
      <c r="P72" s="167"/>
      <c r="Q72" s="681"/>
      <c r="R72" s="739">
        <f aca="true" t="shared" si="45" ref="R72:W72">SUM(R67:R71)</f>
        <v>64.55841860465117</v>
      </c>
      <c r="S72" s="280">
        <f t="shared" si="45"/>
        <v>64.55841860465117</v>
      </c>
      <c r="T72" s="739">
        <f t="shared" si="45"/>
        <v>64.55841860465117</v>
      </c>
      <c r="U72" s="739">
        <f t="shared" si="45"/>
        <v>64.55841860465117</v>
      </c>
      <c r="V72" s="280">
        <f t="shared" si="45"/>
        <v>64.55841860465117</v>
      </c>
      <c r="W72" s="280">
        <f t="shared" si="45"/>
        <v>64.55841860465117</v>
      </c>
    </row>
    <row r="73" spans="1:23" ht="12" customHeight="1">
      <c r="A73" s="191"/>
      <c r="B73" s="180"/>
      <c r="C73" s="180"/>
      <c r="D73" s="171"/>
      <c r="E73" s="157"/>
      <c r="F73" s="171"/>
      <c r="G73" s="244"/>
      <c r="H73" s="157"/>
      <c r="I73" s="157"/>
      <c r="J73" s="244"/>
      <c r="K73" s="244"/>
      <c r="M73" s="191"/>
      <c r="N73" s="180"/>
      <c r="O73" s="180"/>
      <c r="P73" s="171"/>
      <c r="Q73" s="157"/>
      <c r="R73" s="250"/>
      <c r="S73" s="743"/>
      <c r="T73" s="744"/>
      <c r="U73" s="744"/>
      <c r="V73" s="743"/>
      <c r="W73" s="743"/>
    </row>
    <row r="74" spans="1:23" ht="12" customHeight="1">
      <c r="A74" s="191"/>
      <c r="B74" s="166" t="s">
        <v>918</v>
      </c>
      <c r="C74" s="170"/>
      <c r="D74" s="180"/>
      <c r="E74" s="157"/>
      <c r="F74" s="745">
        <f aca="true" t="shared" si="46" ref="F74:K74">F64+F72</f>
        <v>101.45841860465117</v>
      </c>
      <c r="G74" s="796">
        <f t="shared" si="46"/>
        <v>101.45841860465117</v>
      </c>
      <c r="H74" s="745">
        <f t="shared" si="46"/>
        <v>101.45841860465117</v>
      </c>
      <c r="I74" s="745">
        <f t="shared" si="46"/>
        <v>101.45841860465117</v>
      </c>
      <c r="J74" s="746">
        <f t="shared" si="46"/>
        <v>101.45841860465117</v>
      </c>
      <c r="K74" s="746">
        <f t="shared" si="46"/>
        <v>101.45841860465117</v>
      </c>
      <c r="M74" s="191"/>
      <c r="N74" s="166" t="s">
        <v>918</v>
      </c>
      <c r="O74" s="166"/>
      <c r="P74" s="162"/>
      <c r="Q74" s="681"/>
      <c r="R74" s="739">
        <f aca="true" t="shared" si="47" ref="R74:W74">R64+R72</f>
        <v>93.25841860465117</v>
      </c>
      <c r="S74" s="280">
        <f t="shared" si="47"/>
        <v>93.25841860465117</v>
      </c>
      <c r="T74" s="739">
        <f t="shared" si="47"/>
        <v>93.25841860465117</v>
      </c>
      <c r="U74" s="739">
        <f t="shared" si="47"/>
        <v>93.25841860465117</v>
      </c>
      <c r="V74" s="280">
        <f t="shared" si="47"/>
        <v>93.25841860465117</v>
      </c>
      <c r="W74" s="280">
        <f t="shared" si="47"/>
        <v>93.25841860465117</v>
      </c>
    </row>
    <row r="75" spans="1:23" ht="12" customHeight="1">
      <c r="A75" s="191"/>
      <c r="B75" s="170"/>
      <c r="C75" s="170"/>
      <c r="D75" s="180"/>
      <c r="E75" s="157"/>
      <c r="F75" s="745"/>
      <c r="G75" s="746"/>
      <c r="H75" s="745"/>
      <c r="I75" s="745"/>
      <c r="J75" s="746"/>
      <c r="M75" s="191"/>
      <c r="N75" s="170"/>
      <c r="O75" s="170"/>
      <c r="P75" s="180"/>
      <c r="Q75" s="157"/>
      <c r="R75" s="745"/>
      <c r="S75" s="746"/>
      <c r="T75" s="745"/>
      <c r="U75" s="745"/>
      <c r="V75" s="746"/>
      <c r="W75" s="746"/>
    </row>
    <row r="76" spans="1:23" ht="12" customHeight="1" thickBot="1">
      <c r="A76" s="191"/>
      <c r="B76" s="180"/>
      <c r="C76" s="180"/>
      <c r="D76" s="171"/>
      <c r="E76" s="251"/>
      <c r="F76" s="171"/>
      <c r="G76" s="244"/>
      <c r="H76" s="157"/>
      <c r="I76" s="157"/>
      <c r="J76" s="244"/>
      <c r="M76" s="191"/>
      <c r="N76" s="180"/>
      <c r="O76" s="180"/>
      <c r="P76" s="171"/>
      <c r="Q76" s="251"/>
      <c r="R76" s="171"/>
      <c r="S76" s="244"/>
      <c r="T76" s="157"/>
      <c r="U76" s="157"/>
      <c r="V76" s="244"/>
      <c r="W76" s="244"/>
    </row>
    <row r="77" spans="1:23" ht="12" customHeight="1" thickBot="1">
      <c r="A77" s="191"/>
      <c r="B77" s="166" t="s">
        <v>824</v>
      </c>
      <c r="C77" s="170"/>
      <c r="D77" s="250" t="s">
        <v>919</v>
      </c>
      <c r="E77" s="251"/>
      <c r="F77" s="1152" t="s">
        <v>912</v>
      </c>
      <c r="G77" s="1153"/>
      <c r="H77" s="1153"/>
      <c r="I77" s="1153"/>
      <c r="J77" s="1153"/>
      <c r="K77" s="1154"/>
      <c r="M77" s="191"/>
      <c r="N77" s="166" t="s">
        <v>824</v>
      </c>
      <c r="O77" s="170"/>
      <c r="P77" s="250" t="s">
        <v>825</v>
      </c>
      <c r="Q77" s="750"/>
      <c r="R77" s="1135" t="s">
        <v>912</v>
      </c>
      <c r="S77" s="1136"/>
      <c r="T77" s="1136"/>
      <c r="U77" s="1136"/>
      <c r="V77" s="1136"/>
      <c r="W77" s="1137"/>
    </row>
    <row r="78" spans="1:23" ht="12" customHeight="1">
      <c r="A78" s="191"/>
      <c r="B78" s="162" t="s">
        <v>826</v>
      </c>
      <c r="C78" s="172">
        <v>0.1</v>
      </c>
      <c r="D78" s="173">
        <f>C78*D56</f>
        <v>16.25</v>
      </c>
      <c r="E78" s="306">
        <f>1*D78</f>
        <v>16.25</v>
      </c>
      <c r="F78" s="797">
        <f aca="true" t="shared" si="48" ref="F78:K78">$E78*F55/1000</f>
        <v>29.25</v>
      </c>
      <c r="G78" s="798">
        <f t="shared" si="48"/>
        <v>30.0625</v>
      </c>
      <c r="H78" s="797">
        <f t="shared" si="48"/>
        <v>40.625</v>
      </c>
      <c r="I78" s="797">
        <f t="shared" si="48"/>
        <v>45.5</v>
      </c>
      <c r="J78" s="797">
        <f t="shared" si="48"/>
        <v>48.75</v>
      </c>
      <c r="K78" s="797">
        <f t="shared" si="48"/>
        <v>32.5</v>
      </c>
      <c r="M78" s="191"/>
      <c r="N78" s="162" t="s">
        <v>826</v>
      </c>
      <c r="O78" s="172">
        <v>0.1</v>
      </c>
      <c r="P78" s="165">
        <f>O78*$P$56*$T$53</f>
        <v>13.8125</v>
      </c>
      <c r="Q78" s="306">
        <f>1*P78</f>
        <v>13.8125</v>
      </c>
      <c r="R78" s="167">
        <f aca="true" t="shared" si="49" ref="R78:W78">$Q78*R55/1000</f>
        <v>24.8625</v>
      </c>
      <c r="S78" s="167">
        <f t="shared" si="49"/>
        <v>30.3875</v>
      </c>
      <c r="T78" s="167">
        <f t="shared" si="49"/>
        <v>34.53125</v>
      </c>
      <c r="U78" s="167">
        <f t="shared" si="49"/>
        <v>38.675</v>
      </c>
      <c r="V78" s="167">
        <f t="shared" si="49"/>
        <v>41.4375</v>
      </c>
      <c r="W78" s="167">
        <f t="shared" si="49"/>
        <v>33.15</v>
      </c>
    </row>
    <row r="79" spans="1:23" ht="12" customHeight="1">
      <c r="A79" s="191"/>
      <c r="B79" s="162" t="s">
        <v>827</v>
      </c>
      <c r="C79" s="172">
        <v>1</v>
      </c>
      <c r="D79" s="173">
        <f>C79*20</f>
        <v>20</v>
      </c>
      <c r="E79" s="306">
        <f>1*D79</f>
        <v>20</v>
      </c>
      <c r="F79" s="167">
        <f aca="true" t="shared" si="50" ref="F79:K79">$D79*F55/1000</f>
        <v>36</v>
      </c>
      <c r="G79" s="795">
        <f t="shared" si="50"/>
        <v>37</v>
      </c>
      <c r="H79" s="167">
        <f t="shared" si="50"/>
        <v>50</v>
      </c>
      <c r="I79" s="167">
        <f t="shared" si="50"/>
        <v>56</v>
      </c>
      <c r="J79" s="167">
        <f t="shared" si="50"/>
        <v>60</v>
      </c>
      <c r="K79" s="167">
        <f t="shared" si="50"/>
        <v>40</v>
      </c>
      <c r="M79" s="191"/>
      <c r="N79" s="162" t="s">
        <v>827</v>
      </c>
      <c r="O79" s="172">
        <v>1</v>
      </c>
      <c r="P79" s="155">
        <f>O79*20</f>
        <v>20</v>
      </c>
      <c r="Q79" s="155">
        <f>1*P79</f>
        <v>20</v>
      </c>
      <c r="R79" s="167">
        <f aca="true" t="shared" si="51" ref="R79:W79">$Q79*R55/1000</f>
        <v>36</v>
      </c>
      <c r="S79" s="167">
        <f t="shared" si="51"/>
        <v>44</v>
      </c>
      <c r="T79" s="167">
        <f t="shared" si="51"/>
        <v>50</v>
      </c>
      <c r="U79" s="167">
        <f t="shared" si="51"/>
        <v>56</v>
      </c>
      <c r="V79" s="167">
        <f t="shared" si="51"/>
        <v>60</v>
      </c>
      <c r="W79" s="167">
        <f t="shared" si="51"/>
        <v>48</v>
      </c>
    </row>
    <row r="80" spans="1:23" ht="12" customHeight="1">
      <c r="A80" s="191"/>
      <c r="B80" s="174" t="s">
        <v>828</v>
      </c>
      <c r="C80" s="175">
        <v>0.01</v>
      </c>
      <c r="D80" s="173">
        <f>C80*D56</f>
        <v>1.625</v>
      </c>
      <c r="E80" s="306">
        <f>1*D80</f>
        <v>1.625</v>
      </c>
      <c r="F80" s="167">
        <f aca="true" t="shared" si="52" ref="F80:K80">$D80*F55/1000</f>
        <v>2.925</v>
      </c>
      <c r="G80" s="795">
        <f t="shared" si="52"/>
        <v>3.00625</v>
      </c>
      <c r="H80" s="167">
        <f t="shared" si="52"/>
        <v>4.0625</v>
      </c>
      <c r="I80" s="167">
        <f t="shared" si="52"/>
        <v>4.55</v>
      </c>
      <c r="J80" s="279">
        <f t="shared" si="52"/>
        <v>4.875</v>
      </c>
      <c r="K80" s="279">
        <f t="shared" si="52"/>
        <v>3.25</v>
      </c>
      <c r="M80" s="191"/>
      <c r="N80" s="174" t="s">
        <v>828</v>
      </c>
      <c r="O80" s="175">
        <v>0.01</v>
      </c>
      <c r="P80" s="165">
        <f>O80*$P$56*$T$53</f>
        <v>1.3812499999999999</v>
      </c>
      <c r="Q80" s="306">
        <f>1*P80</f>
        <v>1.3812499999999999</v>
      </c>
      <c r="R80" s="167">
        <f aca="true" t="shared" si="53" ref="R80:W80">$Q80*R55/1000</f>
        <v>2.4862499999999996</v>
      </c>
      <c r="S80" s="167">
        <f t="shared" si="53"/>
        <v>3.0387499999999994</v>
      </c>
      <c r="T80" s="167">
        <f t="shared" si="53"/>
        <v>3.4531249999999996</v>
      </c>
      <c r="U80" s="167">
        <f t="shared" si="53"/>
        <v>3.8674999999999997</v>
      </c>
      <c r="V80" s="167">
        <f t="shared" si="53"/>
        <v>4.14375</v>
      </c>
      <c r="W80" s="167">
        <f t="shared" si="53"/>
        <v>3.3149999999999995</v>
      </c>
    </row>
    <row r="81" spans="1:23" ht="12" customHeight="1">
      <c r="A81" s="191"/>
      <c r="B81" s="174" t="s">
        <v>520</v>
      </c>
      <c r="C81" s="175">
        <v>0.00121</v>
      </c>
      <c r="D81" s="173">
        <f>C81*D56</f>
        <v>0.196625</v>
      </c>
      <c r="E81" s="306">
        <f>1*D81</f>
        <v>0.196625</v>
      </c>
      <c r="F81" s="799">
        <f aca="true" t="shared" si="54" ref="F81:K81">$D81*F55/1000</f>
        <v>0.353925</v>
      </c>
      <c r="G81" s="800">
        <f t="shared" si="54"/>
        <v>0.36375624999999995</v>
      </c>
      <c r="H81" s="799">
        <f t="shared" si="54"/>
        <v>0.4915625</v>
      </c>
      <c r="I81" s="799">
        <f t="shared" si="54"/>
        <v>0.55055</v>
      </c>
      <c r="J81" s="801">
        <f t="shared" si="54"/>
        <v>0.589875</v>
      </c>
      <c r="K81" s="801">
        <f t="shared" si="54"/>
        <v>0.39325</v>
      </c>
      <c r="M81" s="191"/>
      <c r="N81" s="174" t="s">
        <v>520</v>
      </c>
      <c r="O81" s="755">
        <v>0.00121</v>
      </c>
      <c r="P81" s="165">
        <f>O81*$P$56*$T$53</f>
        <v>0.16713124999999998</v>
      </c>
      <c r="Q81" s="306">
        <f>1*P81</f>
        <v>0.16713124999999998</v>
      </c>
      <c r="R81" s="167">
        <f aca="true" t="shared" si="55" ref="R81:W81">$Q81*R55/1000</f>
        <v>0.30083624999999997</v>
      </c>
      <c r="S81" s="167">
        <f t="shared" si="55"/>
        <v>0.36768874999999995</v>
      </c>
      <c r="T81" s="167">
        <f t="shared" si="55"/>
        <v>0.41782812499999994</v>
      </c>
      <c r="U81" s="167">
        <f t="shared" si="55"/>
        <v>0.4679675</v>
      </c>
      <c r="V81" s="167">
        <f t="shared" si="55"/>
        <v>0.50139375</v>
      </c>
      <c r="W81" s="167">
        <f t="shared" si="55"/>
        <v>0.40111499999999994</v>
      </c>
    </row>
    <row r="82" spans="1:23" ht="12" customHeight="1">
      <c r="A82" s="191"/>
      <c r="B82" s="166" t="s">
        <v>829</v>
      </c>
      <c r="C82" s="176"/>
      <c r="D82" s="168">
        <f aca="true" t="shared" si="56" ref="D82:K82">SUM(D78:D81)</f>
        <v>38.071625</v>
      </c>
      <c r="E82" s="437">
        <f t="shared" si="56"/>
        <v>38.071625</v>
      </c>
      <c r="F82" s="437">
        <f t="shared" si="56"/>
        <v>68.528925</v>
      </c>
      <c r="G82" s="802">
        <f t="shared" si="56"/>
        <v>70.43250624999999</v>
      </c>
      <c r="H82" s="437">
        <f t="shared" si="56"/>
        <v>95.1790625</v>
      </c>
      <c r="I82" s="437">
        <f t="shared" si="56"/>
        <v>106.60055</v>
      </c>
      <c r="J82" s="803">
        <f t="shared" si="56"/>
        <v>114.214875</v>
      </c>
      <c r="K82" s="803">
        <f t="shared" si="56"/>
        <v>76.14325</v>
      </c>
      <c r="M82" s="191"/>
      <c r="N82" s="166" t="s">
        <v>829</v>
      </c>
      <c r="O82" s="176"/>
      <c r="P82" s="739">
        <f aca="true" t="shared" si="57" ref="P82:W82">SUM(P78:P81)</f>
        <v>35.36088125</v>
      </c>
      <c r="Q82" s="739">
        <f t="shared" si="57"/>
        <v>35.36088125</v>
      </c>
      <c r="R82" s="739">
        <f t="shared" si="57"/>
        <v>63.64958625</v>
      </c>
      <c r="S82" s="280">
        <f t="shared" si="57"/>
        <v>77.79393875</v>
      </c>
      <c r="T82" s="739">
        <f t="shared" si="57"/>
        <v>88.402203125</v>
      </c>
      <c r="U82" s="739">
        <f t="shared" si="57"/>
        <v>99.01046749999999</v>
      </c>
      <c r="V82" s="280">
        <f t="shared" si="57"/>
        <v>106.08264375</v>
      </c>
      <c r="W82" s="280">
        <f t="shared" si="57"/>
        <v>84.86611500000001</v>
      </c>
    </row>
    <row r="83" spans="1:23" ht="12" customHeight="1">
      <c r="A83" s="191"/>
      <c r="B83" s="180"/>
      <c r="C83" s="157"/>
      <c r="D83" s="756"/>
      <c r="E83" s="157"/>
      <c r="F83" s="171"/>
      <c r="G83" s="244"/>
      <c r="H83" s="157"/>
      <c r="I83" s="157"/>
      <c r="J83" s="244"/>
      <c r="K83" s="244"/>
      <c r="M83" s="191"/>
      <c r="N83" s="180"/>
      <c r="O83" s="157"/>
      <c r="P83" s="756"/>
      <c r="Q83" s="157"/>
      <c r="R83" s="171"/>
      <c r="S83" s="244"/>
      <c r="T83" s="157"/>
      <c r="U83" s="157"/>
      <c r="V83" s="244"/>
      <c r="W83" s="244"/>
    </row>
    <row r="84" spans="1:23" ht="12" customHeight="1">
      <c r="A84" s="191"/>
      <c r="B84" s="757" t="s">
        <v>921</v>
      </c>
      <c r="C84" s="758"/>
      <c r="D84" s="759"/>
      <c r="E84" s="157"/>
      <c r="F84" s="804">
        <f aca="true" t="shared" si="58" ref="F84:K84">F64+F72+F82</f>
        <v>169.9873436046512</v>
      </c>
      <c r="G84" s="761">
        <f t="shared" si="58"/>
        <v>171.89092485465116</v>
      </c>
      <c r="H84" s="804">
        <f t="shared" si="58"/>
        <v>196.63748110465116</v>
      </c>
      <c r="I84" s="804">
        <f t="shared" si="58"/>
        <v>208.05896860465117</v>
      </c>
      <c r="J84" s="760">
        <f t="shared" si="58"/>
        <v>215.67329360465118</v>
      </c>
      <c r="K84" s="760">
        <f t="shared" si="58"/>
        <v>177.60166860465117</v>
      </c>
      <c r="M84" s="191"/>
      <c r="N84" s="757" t="s">
        <v>921</v>
      </c>
      <c r="O84" s="757"/>
      <c r="P84" s="805"/>
      <c r="Q84" s="681"/>
      <c r="R84" s="739">
        <f aca="true" t="shared" si="59" ref="R84:W84">R64+R72+R82</f>
        <v>156.90800485465115</v>
      </c>
      <c r="S84" s="280">
        <f t="shared" si="59"/>
        <v>171.05235735465118</v>
      </c>
      <c r="T84" s="739">
        <f t="shared" si="59"/>
        <v>181.66062172965115</v>
      </c>
      <c r="U84" s="739">
        <f t="shared" si="59"/>
        <v>192.26888610465116</v>
      </c>
      <c r="V84" s="280">
        <f t="shared" si="59"/>
        <v>199.34106235465117</v>
      </c>
      <c r="W84" s="280">
        <f t="shared" si="59"/>
        <v>178.12453360465116</v>
      </c>
    </row>
    <row r="85" spans="1:23" ht="12" customHeight="1">
      <c r="A85" s="191"/>
      <c r="B85" s="206" t="s">
        <v>922</v>
      </c>
      <c r="C85" s="255"/>
      <c r="D85" s="256"/>
      <c r="E85" s="157"/>
      <c r="F85" s="806">
        <f aca="true" t="shared" si="60" ref="F85:K85">F57-F84</f>
        <v>122.51265639534881</v>
      </c>
      <c r="G85" s="807">
        <f t="shared" si="60"/>
        <v>128.73407514534884</v>
      </c>
      <c r="H85" s="806">
        <f t="shared" si="60"/>
        <v>209.61251889534884</v>
      </c>
      <c r="I85" s="806">
        <f t="shared" si="60"/>
        <v>246.94103139534883</v>
      </c>
      <c r="J85" s="806">
        <f t="shared" si="60"/>
        <v>271.8267063953488</v>
      </c>
      <c r="K85" s="806">
        <f t="shared" si="60"/>
        <v>147.39833139534883</v>
      </c>
      <c r="M85" s="191"/>
      <c r="N85" s="206" t="s">
        <v>922</v>
      </c>
      <c r="O85" s="176"/>
      <c r="P85" s="808"/>
      <c r="Q85" s="681"/>
      <c r="R85" s="739">
        <f aca="true" t="shared" si="61" ref="R85:W85">R57-R84</f>
        <v>91.71699514534885</v>
      </c>
      <c r="S85" s="280">
        <f t="shared" si="61"/>
        <v>132.82264264534882</v>
      </c>
      <c r="T85" s="739">
        <f t="shared" si="61"/>
        <v>163.65187827034885</v>
      </c>
      <c r="U85" s="739">
        <f t="shared" si="61"/>
        <v>194.48111389534884</v>
      </c>
      <c r="V85" s="739">
        <f t="shared" si="61"/>
        <v>215.03393764534883</v>
      </c>
      <c r="W85" s="739">
        <f t="shared" si="61"/>
        <v>153.37546639534884</v>
      </c>
    </row>
    <row r="86" spans="1:23" ht="12" customHeight="1" thickBot="1">
      <c r="A86" s="191"/>
      <c r="B86" s="258" t="s">
        <v>923</v>
      </c>
      <c r="C86" s="258"/>
      <c r="D86" s="771">
        <f>(F74)/(D56-D82)*1000</f>
        <v>815.3961554561101</v>
      </c>
      <c r="G86" s="65"/>
      <c r="M86" s="191"/>
      <c r="N86" s="215"/>
      <c r="O86" s="215"/>
      <c r="P86" s="215"/>
      <c r="Q86" s="809"/>
      <c r="R86" s="810"/>
      <c r="S86" s="810"/>
      <c r="T86" s="810"/>
      <c r="U86" s="810"/>
      <c r="V86" s="810"/>
      <c r="W86" s="810"/>
    </row>
    <row r="87" spans="1:23" ht="12" customHeight="1" thickBot="1">
      <c r="A87" s="191"/>
      <c r="B87" s="260" t="s">
        <v>924</v>
      </c>
      <c r="C87" s="261"/>
      <c r="D87" s="261"/>
      <c r="E87" s="261"/>
      <c r="F87" s="811">
        <f aca="true" t="shared" si="62" ref="F87:K87">(F74+$D$79*F55/1000)/((F55/1000-F55/1000*($C$78+$C$80+$C$81)))</f>
        <v>85.92107034698309</v>
      </c>
      <c r="G87" s="812">
        <f t="shared" si="62"/>
        <v>84.20705502418635</v>
      </c>
      <c r="H87" s="811">
        <f t="shared" si="62"/>
        <v>68.16387160280884</v>
      </c>
      <c r="I87" s="811">
        <f t="shared" si="62"/>
        <v>63.27158215288329</v>
      </c>
      <c r="J87" s="813">
        <f t="shared" si="62"/>
        <v>60.5536435695913</v>
      </c>
      <c r="K87" s="813">
        <f t="shared" si="62"/>
        <v>79.57921365263515</v>
      </c>
      <c r="M87" s="191"/>
      <c r="N87" s="176" t="s">
        <v>923</v>
      </c>
      <c r="O87" s="814"/>
      <c r="P87" s="815">
        <f>(R74)/(P56*T53-P82)*1000</f>
        <v>907.4998135441235</v>
      </c>
      <c r="R87" s="744"/>
      <c r="S87" s="744"/>
      <c r="T87" s="744"/>
      <c r="U87" s="744"/>
      <c r="V87" s="744"/>
      <c r="W87" s="744"/>
    </row>
    <row r="88" spans="1:23" ht="12" customHeight="1" thickBot="1">
      <c r="A88" s="191"/>
      <c r="M88" s="191"/>
      <c r="N88" s="260" t="s">
        <v>924</v>
      </c>
      <c r="O88" s="261"/>
      <c r="P88" s="261"/>
      <c r="Q88" s="261"/>
      <c r="R88" s="263">
        <f aca="true" t="shared" si="63" ref="R88:W88">(R74+$P$79*R55/1000)/((R55/1000-(R55/1000*($O$78+$O$80+$O$81))))/$T$53</f>
        <v>95.05352956152488</v>
      </c>
      <c r="S88" s="263">
        <f t="shared" si="63"/>
        <v>82.58443935322701</v>
      </c>
      <c r="T88" s="263">
        <f t="shared" si="63"/>
        <v>75.85113064074618</v>
      </c>
      <c r="U88" s="263">
        <f t="shared" si="63"/>
        <v>70.56067379522551</v>
      </c>
      <c r="V88" s="263">
        <f t="shared" si="63"/>
        <v>67.62153110326959</v>
      </c>
      <c r="W88" s="263">
        <f t="shared" si="63"/>
        <v>77.90853052511532</v>
      </c>
    </row>
    <row r="89" spans="1:14" ht="12.75">
      <c r="A89" s="191"/>
      <c r="B89" s="776" t="s">
        <v>521</v>
      </c>
      <c r="N89" s="776" t="s">
        <v>521</v>
      </c>
    </row>
    <row r="90" spans="1:13" ht="12.75">
      <c r="A90" s="191"/>
      <c r="M90" s="191"/>
    </row>
    <row r="91" spans="1:23" ht="12.75">
      <c r="A91" s="777"/>
      <c r="B91" s="779"/>
      <c r="C91" s="779"/>
      <c r="D91" s="779"/>
      <c r="E91" s="779"/>
      <c r="F91" s="779"/>
      <c r="G91" s="779"/>
      <c r="H91" s="779"/>
      <c r="I91" s="779"/>
      <c r="J91" s="779"/>
      <c r="K91" s="779"/>
      <c r="L91" s="779"/>
      <c r="M91" s="777"/>
      <c r="N91" s="779"/>
      <c r="O91" s="779"/>
      <c r="P91" s="779"/>
      <c r="Q91" s="779"/>
      <c r="R91" s="779"/>
      <c r="S91" s="779"/>
      <c r="T91" s="779"/>
      <c r="U91" s="779"/>
      <c r="V91" s="779"/>
      <c r="W91" s="779"/>
    </row>
    <row r="92" spans="1:13" ht="12.75">
      <c r="A92" s="191"/>
      <c r="M92" s="191"/>
    </row>
    <row r="93" spans="1:13" ht="12.75">
      <c r="A93" s="191"/>
      <c r="M93" s="191"/>
    </row>
    <row r="94" spans="1:23" ht="15.75">
      <c r="A94" s="1131" t="s">
        <v>527</v>
      </c>
      <c r="B94" s="1131"/>
      <c r="C94" s="1131"/>
      <c r="D94" s="1131"/>
      <c r="E94" s="1131"/>
      <c r="F94" s="1131"/>
      <c r="G94" s="1131"/>
      <c r="H94" s="1131"/>
      <c r="I94" s="1131"/>
      <c r="J94" s="1131"/>
      <c r="K94" s="1131"/>
      <c r="M94" s="1131" t="s">
        <v>513</v>
      </c>
      <c r="N94" s="1131"/>
      <c r="O94" s="1131"/>
      <c r="P94" s="1131"/>
      <c r="Q94" s="1131"/>
      <c r="R94" s="1131"/>
      <c r="S94" s="1131"/>
      <c r="T94" s="1131"/>
      <c r="U94" s="1131"/>
      <c r="V94" s="1131"/>
      <c r="W94" s="1131"/>
    </row>
    <row r="95" spans="1:18" ht="12.75">
      <c r="A95" s="191"/>
      <c r="B95" s="704" t="s">
        <v>898</v>
      </c>
      <c r="C95" s="705" t="s">
        <v>286</v>
      </c>
      <c r="E95" s="194"/>
      <c r="F95" s="194"/>
      <c r="M95" s="191"/>
      <c r="N95" s="192" t="s">
        <v>898</v>
      </c>
      <c r="O95" s="193" t="s">
        <v>286</v>
      </c>
      <c r="Q95" s="194"/>
      <c r="R95" s="194"/>
    </row>
    <row r="96" spans="1:17" ht="12.75">
      <c r="A96" s="191"/>
      <c r="B96" s="706" t="s">
        <v>899</v>
      </c>
      <c r="C96" s="816"/>
      <c r="E96" s="196" t="s">
        <v>287</v>
      </c>
      <c r="M96" s="191"/>
      <c r="N96" s="195" t="s">
        <v>899</v>
      </c>
      <c r="O96" s="157">
        <v>480</v>
      </c>
      <c r="Q96" s="196" t="s">
        <v>287</v>
      </c>
    </row>
    <row r="97" spans="1:22" ht="12" customHeight="1" thickBot="1">
      <c r="A97" s="191"/>
      <c r="B97" s="197"/>
      <c r="C97" s="197"/>
      <c r="D97" s="197"/>
      <c r="F97" s="1143" t="s">
        <v>282</v>
      </c>
      <c r="G97" s="1144"/>
      <c r="H97" s="1144"/>
      <c r="I97" s="1144"/>
      <c r="J97" s="1144"/>
      <c r="K97" s="1145"/>
      <c r="M97" s="191"/>
      <c r="N97" s="197"/>
      <c r="O97" s="197"/>
      <c r="P97" s="197"/>
      <c r="R97" s="180"/>
      <c r="S97" s="25" t="s">
        <v>327</v>
      </c>
      <c r="T97" s="198">
        <v>0.85</v>
      </c>
      <c r="U97" s="157"/>
      <c r="V97" s="157"/>
    </row>
    <row r="98" spans="1:23" ht="12" customHeight="1" thickBot="1">
      <c r="A98" s="191"/>
      <c r="B98" s="708" t="s">
        <v>901</v>
      </c>
      <c r="C98" s="709"/>
      <c r="D98" s="201" t="s">
        <v>902</v>
      </c>
      <c r="F98" s="1155" t="s">
        <v>903</v>
      </c>
      <c r="G98" s="1156"/>
      <c r="H98" s="1156"/>
      <c r="I98" s="1156"/>
      <c r="J98" s="1157"/>
      <c r="K98" s="817" t="s">
        <v>904</v>
      </c>
      <c r="M98" s="191"/>
      <c r="N98" s="199" t="s">
        <v>901</v>
      </c>
      <c r="O98" s="200"/>
      <c r="P98" s="201" t="s">
        <v>902</v>
      </c>
      <c r="R98" s="1132" t="s">
        <v>903</v>
      </c>
      <c r="S98" s="1133"/>
      <c r="T98" s="1133"/>
      <c r="U98" s="1133"/>
      <c r="V98" s="1134"/>
      <c r="W98" s="712" t="s">
        <v>904</v>
      </c>
    </row>
    <row r="99" spans="1:23" ht="12" customHeight="1">
      <c r="A99" s="191"/>
      <c r="B99" s="713"/>
      <c r="C99" s="714"/>
      <c r="D99" s="206" t="s">
        <v>905</v>
      </c>
      <c r="F99" s="818">
        <v>3800</v>
      </c>
      <c r="G99" s="208">
        <v>4000</v>
      </c>
      <c r="H99" s="207">
        <v>4200</v>
      </c>
      <c r="I99" s="209">
        <v>4500</v>
      </c>
      <c r="J99" s="210">
        <v>4800</v>
      </c>
      <c r="K99" s="159">
        <v>4251</v>
      </c>
      <c r="M99" s="191"/>
      <c r="N99" s="204"/>
      <c r="O99" s="205"/>
      <c r="P99" s="206" t="s">
        <v>905</v>
      </c>
      <c r="R99" s="207">
        <v>3800</v>
      </c>
      <c r="S99" s="208">
        <v>4000</v>
      </c>
      <c r="T99" s="207">
        <v>4200</v>
      </c>
      <c r="U99" s="209">
        <v>4500</v>
      </c>
      <c r="V99" s="210">
        <v>4800</v>
      </c>
      <c r="W99" s="159">
        <v>4300</v>
      </c>
    </row>
    <row r="100" spans="1:22" ht="12" customHeight="1">
      <c r="A100" s="191"/>
      <c r="B100" s="180" t="s">
        <v>906</v>
      </c>
      <c r="C100" s="211"/>
      <c r="D100" s="212">
        <v>58.5</v>
      </c>
      <c r="F100" s="819"/>
      <c r="G100" s="214"/>
      <c r="H100" s="215"/>
      <c r="I100" s="215"/>
      <c r="J100" s="214"/>
      <c r="M100" s="191"/>
      <c r="N100" s="180" t="s">
        <v>906</v>
      </c>
      <c r="O100" s="211"/>
      <c r="P100" s="212">
        <v>58.5</v>
      </c>
      <c r="R100" s="213"/>
      <c r="S100" s="214"/>
      <c r="T100" s="215"/>
      <c r="U100" s="215"/>
      <c r="V100" s="214"/>
    </row>
    <row r="101" spans="1:23" ht="12" customHeight="1">
      <c r="A101" s="191"/>
      <c r="B101" s="216" t="s">
        <v>907</v>
      </c>
      <c r="C101" s="217"/>
      <c r="D101" s="218"/>
      <c r="F101" s="722">
        <f aca="true" t="shared" si="64" ref="F101:K101">F99*$D$100/1000</f>
        <v>222.3</v>
      </c>
      <c r="G101" s="219">
        <f t="shared" si="64"/>
        <v>234</v>
      </c>
      <c r="H101" s="219">
        <f t="shared" si="64"/>
        <v>245.7</v>
      </c>
      <c r="I101" s="219">
        <f t="shared" si="64"/>
        <v>263.25</v>
      </c>
      <c r="J101" s="219">
        <f t="shared" si="64"/>
        <v>280.8</v>
      </c>
      <c r="K101" s="219">
        <f t="shared" si="64"/>
        <v>248.6835</v>
      </c>
      <c r="M101" s="191"/>
      <c r="N101" s="216" t="s">
        <v>907</v>
      </c>
      <c r="O101" s="217"/>
      <c r="P101" s="218"/>
      <c r="R101" s="219">
        <f aca="true" t="shared" si="65" ref="R101:W101">R99*$P$100/1000*$T$97</f>
        <v>188.955</v>
      </c>
      <c r="S101" s="219">
        <f t="shared" si="65"/>
        <v>198.9</v>
      </c>
      <c r="T101" s="219">
        <f t="shared" si="65"/>
        <v>208.845</v>
      </c>
      <c r="U101" s="219">
        <f t="shared" si="65"/>
        <v>223.7625</v>
      </c>
      <c r="V101" s="219">
        <f t="shared" si="65"/>
        <v>238.68</v>
      </c>
      <c r="W101" s="219">
        <f t="shared" si="65"/>
        <v>213.8175</v>
      </c>
    </row>
    <row r="102" spans="1:23" ht="12" customHeight="1" thickBot="1">
      <c r="A102" s="191"/>
      <c r="B102" s="216" t="s">
        <v>908</v>
      </c>
      <c r="C102" s="217"/>
      <c r="D102" s="220"/>
      <c r="F102" s="221"/>
      <c r="G102" s="222"/>
      <c r="J102" s="65"/>
      <c r="M102" s="191"/>
      <c r="N102" s="216" t="s">
        <v>908</v>
      </c>
      <c r="O102" s="217"/>
      <c r="P102" s="220"/>
      <c r="R102" s="221"/>
      <c r="S102" s="222"/>
      <c r="V102" s="65"/>
      <c r="W102" s="65"/>
    </row>
    <row r="103" spans="1:23" ht="12" customHeight="1" thickBot="1">
      <c r="A103" s="191"/>
      <c r="B103" s="724" t="s">
        <v>909</v>
      </c>
      <c r="C103" s="164">
        <v>14</v>
      </c>
      <c r="G103" s="224"/>
      <c r="J103" s="65"/>
      <c r="M103" s="191"/>
      <c r="N103" s="724" t="s">
        <v>909</v>
      </c>
      <c r="O103" s="164">
        <v>14</v>
      </c>
      <c r="S103" s="224"/>
      <c r="V103" s="65"/>
      <c r="W103" s="65"/>
    </row>
    <row r="104" spans="1:23" ht="12" customHeight="1" thickBot="1">
      <c r="A104" s="155" t="s">
        <v>512</v>
      </c>
      <c r="B104" s="726"/>
      <c r="C104" s="227" t="s">
        <v>817</v>
      </c>
      <c r="D104" s="219" t="s">
        <v>910</v>
      </c>
      <c r="E104" s="727" t="s">
        <v>911</v>
      </c>
      <c r="F104" s="1135" t="s">
        <v>912</v>
      </c>
      <c r="G104" s="1136"/>
      <c r="H104" s="1136"/>
      <c r="I104" s="1136"/>
      <c r="J104" s="1136"/>
      <c r="K104" s="1137"/>
      <c r="M104" s="191"/>
      <c r="N104" s="726"/>
      <c r="O104" s="227" t="s">
        <v>817</v>
      </c>
      <c r="P104" s="219" t="s">
        <v>910</v>
      </c>
      <c r="Q104" s="160" t="s">
        <v>911</v>
      </c>
      <c r="R104" s="1135" t="s">
        <v>912</v>
      </c>
      <c r="S104" s="1136"/>
      <c r="T104" s="1136"/>
      <c r="U104" s="1136"/>
      <c r="V104" s="1136"/>
      <c r="W104" s="1137"/>
    </row>
    <row r="105" spans="1:23" ht="12" customHeight="1">
      <c r="A105" s="225">
        <v>11</v>
      </c>
      <c r="B105" s="784" t="str">
        <f>IF($A105&lt;&gt;0,VLOOKUP($A105,equi,2),"")</f>
        <v>Cultivador de Campo</v>
      </c>
      <c r="C105" s="232">
        <v>1</v>
      </c>
      <c r="D105" s="235">
        <f>IF($A105&lt;&gt;0,VLOOKUP($A105,equi,3),"")</f>
        <v>0.45</v>
      </c>
      <c r="E105" s="165">
        <f>D105*$C$103</f>
        <v>6.3</v>
      </c>
      <c r="F105" s="783">
        <f aca="true" t="shared" si="66" ref="F105:K109">$E105*$C105</f>
        <v>6.3</v>
      </c>
      <c r="G105" s="782">
        <f t="shared" si="66"/>
        <v>6.3</v>
      </c>
      <c r="H105" s="782">
        <f t="shared" si="66"/>
        <v>6.3</v>
      </c>
      <c r="I105" s="782">
        <f t="shared" si="66"/>
        <v>6.3</v>
      </c>
      <c r="J105" s="782">
        <f t="shared" si="66"/>
        <v>6.3</v>
      </c>
      <c r="K105" s="782">
        <f t="shared" si="66"/>
        <v>6.3</v>
      </c>
      <c r="M105" s="225">
        <v>11</v>
      </c>
      <c r="N105" s="234" t="str">
        <f>IF($M105&lt;&gt;0,VLOOKUP($M105,equi,2),"")</f>
        <v>Cultivador de Campo</v>
      </c>
      <c r="O105" s="232">
        <v>1</v>
      </c>
      <c r="P105" s="235">
        <f>IF($M105&lt;&gt;0,VLOOKUP($M105,equi,3),"")</f>
        <v>0.45</v>
      </c>
      <c r="Q105" s="165">
        <f>$P105*$O$103</f>
        <v>6.3</v>
      </c>
      <c r="R105" s="233">
        <f aca="true" t="shared" si="67" ref="R105:W109">$Q105*$O105</f>
        <v>6.3</v>
      </c>
      <c r="S105" s="233">
        <f t="shared" si="67"/>
        <v>6.3</v>
      </c>
      <c r="T105" s="233">
        <f t="shared" si="67"/>
        <v>6.3</v>
      </c>
      <c r="U105" s="233">
        <f t="shared" si="67"/>
        <v>6.3</v>
      </c>
      <c r="V105" s="233">
        <f t="shared" si="67"/>
        <v>6.3</v>
      </c>
      <c r="W105" s="233">
        <f t="shared" si="67"/>
        <v>6.3</v>
      </c>
    </row>
    <row r="106" spans="1:23" ht="12" customHeight="1">
      <c r="A106" s="225">
        <v>16</v>
      </c>
      <c r="B106" s="784" t="str">
        <f>IF($A106&lt;&gt;0,VLOOKUP($A106,equi,2),"")</f>
        <v>Siembra Gruesa Convencional</v>
      </c>
      <c r="C106" s="232">
        <v>1</v>
      </c>
      <c r="D106" s="235">
        <f>IF($A106&lt;&gt;0,VLOOKUP($A106,equi,3),"")</f>
        <v>0.45</v>
      </c>
      <c r="E106" s="165">
        <f>D106*$C$103</f>
        <v>6.3</v>
      </c>
      <c r="F106" s="786">
        <f t="shared" si="66"/>
        <v>6.3</v>
      </c>
      <c r="G106" s="785">
        <f t="shared" si="66"/>
        <v>6.3</v>
      </c>
      <c r="H106" s="785">
        <f t="shared" si="66"/>
        <v>6.3</v>
      </c>
      <c r="I106" s="785">
        <f t="shared" si="66"/>
        <v>6.3</v>
      </c>
      <c r="J106" s="785">
        <f t="shared" si="66"/>
        <v>6.3</v>
      </c>
      <c r="K106" s="785">
        <f t="shared" si="66"/>
        <v>6.3</v>
      </c>
      <c r="M106" s="225">
        <v>16</v>
      </c>
      <c r="N106" s="234" t="str">
        <f>IF($M106&lt;&gt;0,VLOOKUP($M106,equi,2),"")</f>
        <v>Siembra Gruesa Convencional</v>
      </c>
      <c r="O106" s="232">
        <v>1</v>
      </c>
      <c r="P106" s="235">
        <f>IF($M106&lt;&gt;0,VLOOKUP($M106,equi,3),"")</f>
        <v>0.45</v>
      </c>
      <c r="Q106" s="165">
        <f>P106*$O$103</f>
        <v>6.3</v>
      </c>
      <c r="R106" s="233">
        <f t="shared" si="67"/>
        <v>6.3</v>
      </c>
      <c r="S106" s="233">
        <f t="shared" si="67"/>
        <v>6.3</v>
      </c>
      <c r="T106" s="233">
        <f t="shared" si="67"/>
        <v>6.3</v>
      </c>
      <c r="U106" s="233">
        <f t="shared" si="67"/>
        <v>6.3</v>
      </c>
      <c r="V106" s="233">
        <f t="shared" si="67"/>
        <v>6.3</v>
      </c>
      <c r="W106" s="233">
        <f t="shared" si="67"/>
        <v>6.3</v>
      </c>
    </row>
    <row r="107" spans="1:23" ht="12" customHeight="1">
      <c r="A107" s="225">
        <v>22</v>
      </c>
      <c r="B107" s="784" t="str">
        <f>IF($A107&lt;&gt;0,VLOOKUP($A107,equi,2),"")</f>
        <v>Pulverización Terrestre p/Herbicidas y Defoliantes</v>
      </c>
      <c r="C107" s="232">
        <v>1</v>
      </c>
      <c r="D107" s="235">
        <f>IF($A107&lt;&gt;0,VLOOKUP($A107,equi,3),"")</f>
        <v>0.25</v>
      </c>
      <c r="E107" s="165">
        <f>D107*$C$103</f>
        <v>3.5</v>
      </c>
      <c r="F107" s="786">
        <f t="shared" si="66"/>
        <v>3.5</v>
      </c>
      <c r="G107" s="785">
        <f t="shared" si="66"/>
        <v>3.5</v>
      </c>
      <c r="H107" s="785">
        <f t="shared" si="66"/>
        <v>3.5</v>
      </c>
      <c r="I107" s="785">
        <f t="shared" si="66"/>
        <v>3.5</v>
      </c>
      <c r="J107" s="785">
        <f t="shared" si="66"/>
        <v>3.5</v>
      </c>
      <c r="K107" s="785">
        <f t="shared" si="66"/>
        <v>3.5</v>
      </c>
      <c r="M107" s="225">
        <v>22</v>
      </c>
      <c r="N107" s="234" t="str">
        <f>IF($M107&lt;&gt;0,VLOOKUP($M107,equi,2),"")</f>
        <v>Pulverización Terrestre p/Herbicidas y Defoliantes</v>
      </c>
      <c r="O107" s="232">
        <v>1</v>
      </c>
      <c r="P107" s="235">
        <f>IF($M107&lt;&gt;0,VLOOKUP($M107,equi,3),"")</f>
        <v>0.25</v>
      </c>
      <c r="Q107" s="165">
        <f>P107*$O$103</f>
        <v>3.5</v>
      </c>
      <c r="R107" s="233">
        <f t="shared" si="67"/>
        <v>3.5</v>
      </c>
      <c r="S107" s="233">
        <f t="shared" si="67"/>
        <v>3.5</v>
      </c>
      <c r="T107" s="233">
        <f t="shared" si="67"/>
        <v>3.5</v>
      </c>
      <c r="U107" s="233">
        <f t="shared" si="67"/>
        <v>3.5</v>
      </c>
      <c r="V107" s="233">
        <f t="shared" si="67"/>
        <v>3.5</v>
      </c>
      <c r="W107" s="233">
        <f t="shared" si="67"/>
        <v>3.5</v>
      </c>
    </row>
    <row r="108" spans="1:23" ht="12" customHeight="1">
      <c r="A108" s="225">
        <v>23</v>
      </c>
      <c r="B108" s="784" t="str">
        <f>IF($A108&lt;&gt;0,VLOOKUP($A108,equi,2),"")</f>
        <v>Pulverización Terrestre p/Insecticidas</v>
      </c>
      <c r="C108" s="232">
        <v>2</v>
      </c>
      <c r="D108" s="235">
        <f>IF($A108&lt;&gt;0,VLOOKUP($A108,equi,3),"")</f>
        <v>0.3</v>
      </c>
      <c r="E108" s="165">
        <f>D108*$C$103</f>
        <v>4.2</v>
      </c>
      <c r="F108" s="786">
        <f t="shared" si="66"/>
        <v>8.4</v>
      </c>
      <c r="G108" s="785">
        <f t="shared" si="66"/>
        <v>8.4</v>
      </c>
      <c r="H108" s="785">
        <f t="shared" si="66"/>
        <v>8.4</v>
      </c>
      <c r="I108" s="785">
        <f t="shared" si="66"/>
        <v>8.4</v>
      </c>
      <c r="J108" s="785">
        <f t="shared" si="66"/>
        <v>8.4</v>
      </c>
      <c r="K108" s="785">
        <f t="shared" si="66"/>
        <v>8.4</v>
      </c>
      <c r="M108" s="225">
        <v>23</v>
      </c>
      <c r="N108" s="234" t="str">
        <f>IF($M108&lt;&gt;0,VLOOKUP($M108,equi,2),"")</f>
        <v>Pulverización Terrestre p/Insecticidas</v>
      </c>
      <c r="O108" s="232">
        <v>2</v>
      </c>
      <c r="P108" s="235">
        <f>IF($M108&lt;&gt;0,VLOOKUP($M108,equi,3),"")</f>
        <v>0.3</v>
      </c>
      <c r="Q108" s="165">
        <f>P108*$O$103</f>
        <v>4.2</v>
      </c>
      <c r="R108" s="233">
        <f t="shared" si="67"/>
        <v>8.4</v>
      </c>
      <c r="S108" s="233">
        <f t="shared" si="67"/>
        <v>8.4</v>
      </c>
      <c r="T108" s="233">
        <f t="shared" si="67"/>
        <v>8.4</v>
      </c>
      <c r="U108" s="233">
        <f t="shared" si="67"/>
        <v>8.4</v>
      </c>
      <c r="V108" s="233">
        <f t="shared" si="67"/>
        <v>8.4</v>
      </c>
      <c r="W108" s="233">
        <f t="shared" si="67"/>
        <v>8.4</v>
      </c>
    </row>
    <row r="109" spans="1:23" ht="12" customHeight="1">
      <c r="A109" s="225">
        <v>20</v>
      </c>
      <c r="B109" s="784" t="str">
        <f>IF($A109&lt;&gt;0,VLOOKUP($A109,equi,2),"")</f>
        <v>Escardillo</v>
      </c>
      <c r="C109" s="232">
        <v>1</v>
      </c>
      <c r="D109" s="235">
        <f>IF($A109&lt;&gt;0,VLOOKUP($A109,equi,3),"")</f>
        <v>0.4</v>
      </c>
      <c r="E109" s="165">
        <f>D109*$C$103</f>
        <v>5.6000000000000005</v>
      </c>
      <c r="F109" s="786">
        <f t="shared" si="66"/>
        <v>5.6000000000000005</v>
      </c>
      <c r="G109" s="785">
        <f t="shared" si="66"/>
        <v>5.6000000000000005</v>
      </c>
      <c r="H109" s="785">
        <f t="shared" si="66"/>
        <v>5.6000000000000005</v>
      </c>
      <c r="I109" s="785">
        <f t="shared" si="66"/>
        <v>5.6000000000000005</v>
      </c>
      <c r="J109" s="785">
        <f t="shared" si="66"/>
        <v>5.6000000000000005</v>
      </c>
      <c r="K109" s="785">
        <f t="shared" si="66"/>
        <v>5.6000000000000005</v>
      </c>
      <c r="M109" s="225">
        <v>20</v>
      </c>
      <c r="N109" s="234" t="str">
        <f>IF($M109&lt;&gt;0,VLOOKUP($M109,equi,2),"")</f>
        <v>Escardillo</v>
      </c>
      <c r="O109" s="232">
        <v>1</v>
      </c>
      <c r="P109" s="235">
        <f>IF($M109&lt;&gt;0,VLOOKUP($M109,equi,3),"")</f>
        <v>0.4</v>
      </c>
      <c r="Q109" s="165">
        <f>P109*$O$103</f>
        <v>5.6000000000000005</v>
      </c>
      <c r="R109" s="233">
        <f t="shared" si="67"/>
        <v>5.6000000000000005</v>
      </c>
      <c r="S109" s="233">
        <f t="shared" si="67"/>
        <v>5.6000000000000005</v>
      </c>
      <c r="T109" s="233">
        <f t="shared" si="67"/>
        <v>5.6000000000000005</v>
      </c>
      <c r="U109" s="233">
        <f t="shared" si="67"/>
        <v>5.6000000000000005</v>
      </c>
      <c r="V109" s="233">
        <f t="shared" si="67"/>
        <v>5.6000000000000005</v>
      </c>
      <c r="W109" s="233">
        <f t="shared" si="67"/>
        <v>5.6000000000000005</v>
      </c>
    </row>
    <row r="110" spans="1:23" ht="12" customHeight="1">
      <c r="A110" s="191"/>
      <c r="B110" s="166" t="s">
        <v>913</v>
      </c>
      <c r="C110" s="166"/>
      <c r="D110" s="236"/>
      <c r="E110" s="237"/>
      <c r="F110" s="820">
        <f aca="true" t="shared" si="68" ref="F110:K110">SUM(F105:F109)</f>
        <v>30.1</v>
      </c>
      <c r="G110" s="239">
        <f t="shared" si="68"/>
        <v>30.1</v>
      </c>
      <c r="H110" s="240">
        <f t="shared" si="68"/>
        <v>30.1</v>
      </c>
      <c r="I110" s="240">
        <f t="shared" si="68"/>
        <v>30.1</v>
      </c>
      <c r="J110" s="239">
        <f t="shared" si="68"/>
        <v>30.1</v>
      </c>
      <c r="K110" s="239">
        <f t="shared" si="68"/>
        <v>30.1</v>
      </c>
      <c r="M110" s="191"/>
      <c r="N110" s="166" t="s">
        <v>913</v>
      </c>
      <c r="O110" s="166"/>
      <c r="P110" s="236"/>
      <c r="Q110" s="237"/>
      <c r="R110" s="238">
        <f aca="true" t="shared" si="69" ref="R110:W110">SUM(R105:R109)</f>
        <v>30.1</v>
      </c>
      <c r="S110" s="239">
        <f t="shared" si="69"/>
        <v>30.1</v>
      </c>
      <c r="T110" s="240">
        <f t="shared" si="69"/>
        <v>30.1</v>
      </c>
      <c r="U110" s="240">
        <f t="shared" si="69"/>
        <v>30.1</v>
      </c>
      <c r="V110" s="239">
        <f t="shared" si="69"/>
        <v>30.1</v>
      </c>
      <c r="W110" s="239">
        <f t="shared" si="69"/>
        <v>30.1</v>
      </c>
    </row>
    <row r="111" spans="1:23" ht="12" customHeight="1" thickBot="1">
      <c r="A111" s="191"/>
      <c r="B111" s="166"/>
      <c r="C111" s="170"/>
      <c r="D111" s="241"/>
      <c r="E111" s="157"/>
      <c r="F111" s="242"/>
      <c r="G111" s="243"/>
      <c r="H111" s="157"/>
      <c r="I111" s="157"/>
      <c r="J111" s="244"/>
      <c r="K111" s="244"/>
      <c r="M111" s="191"/>
      <c r="N111" s="166"/>
      <c r="O111" s="170"/>
      <c r="P111" s="241"/>
      <c r="Q111" s="157"/>
      <c r="R111" s="242"/>
      <c r="S111" s="243"/>
      <c r="T111" s="157"/>
      <c r="U111" s="157"/>
      <c r="V111" s="244"/>
      <c r="W111" s="244"/>
    </row>
    <row r="112" spans="1:23" ht="12" customHeight="1" thickBot="1">
      <c r="A112" s="191"/>
      <c r="B112" s="166"/>
      <c r="C112" s="170" t="s">
        <v>817</v>
      </c>
      <c r="D112" s="245" t="s">
        <v>915</v>
      </c>
      <c r="E112" s="245" t="s">
        <v>916</v>
      </c>
      <c r="F112" s="1152" t="s">
        <v>912</v>
      </c>
      <c r="G112" s="1153"/>
      <c r="H112" s="1153"/>
      <c r="I112" s="1153"/>
      <c r="J112" s="1153"/>
      <c r="K112" s="1154"/>
      <c r="M112" s="191"/>
      <c r="N112" s="166"/>
      <c r="O112" s="170" t="s">
        <v>817</v>
      </c>
      <c r="P112" s="245" t="s">
        <v>915</v>
      </c>
      <c r="Q112" s="245" t="s">
        <v>916</v>
      </c>
      <c r="R112" s="1135" t="s">
        <v>912</v>
      </c>
      <c r="S112" s="1136"/>
      <c r="T112" s="1136"/>
      <c r="U112" s="1136"/>
      <c r="V112" s="1136"/>
      <c r="W112" s="1137"/>
    </row>
    <row r="113" spans="1:23" ht="12" customHeight="1">
      <c r="A113" s="191"/>
      <c r="B113" s="162" t="s">
        <v>832</v>
      </c>
      <c r="C113" s="163">
        <v>7</v>
      </c>
      <c r="D113" s="164">
        <v>2.2</v>
      </c>
      <c r="E113" s="246">
        <f>1*D113</f>
        <v>2.2</v>
      </c>
      <c r="F113" s="730">
        <f aca="true" t="shared" si="70" ref="F113:K116">$E113*$C113</f>
        <v>15.400000000000002</v>
      </c>
      <c r="G113" s="794">
        <f t="shared" si="70"/>
        <v>15.400000000000002</v>
      </c>
      <c r="H113" s="794">
        <f t="shared" si="70"/>
        <v>15.400000000000002</v>
      </c>
      <c r="I113" s="794">
        <f t="shared" si="70"/>
        <v>15.400000000000002</v>
      </c>
      <c r="J113" s="794">
        <f t="shared" si="70"/>
        <v>15.400000000000002</v>
      </c>
      <c r="K113" s="794">
        <f t="shared" si="70"/>
        <v>15.400000000000002</v>
      </c>
      <c r="M113" s="191"/>
      <c r="N113" s="162" t="s">
        <v>832</v>
      </c>
      <c r="O113" s="163">
        <v>7</v>
      </c>
      <c r="P113" s="164">
        <v>2.2</v>
      </c>
      <c r="Q113" s="246">
        <f>1*P113</f>
        <v>2.2</v>
      </c>
      <c r="R113" s="247">
        <f aca="true" t="shared" si="71" ref="R113:W116">$Q113*$O113</f>
        <v>15.400000000000002</v>
      </c>
      <c r="S113" s="247">
        <f t="shared" si="71"/>
        <v>15.400000000000002</v>
      </c>
      <c r="T113" s="247">
        <f t="shared" si="71"/>
        <v>15.400000000000002</v>
      </c>
      <c r="U113" s="247">
        <f t="shared" si="71"/>
        <v>15.400000000000002</v>
      </c>
      <c r="V113" s="247">
        <f t="shared" si="71"/>
        <v>15.400000000000002</v>
      </c>
      <c r="W113" s="247">
        <f t="shared" si="71"/>
        <v>15.400000000000002</v>
      </c>
    </row>
    <row r="114" spans="1:23" ht="12" customHeight="1">
      <c r="A114" s="191"/>
      <c r="B114" s="162" t="s">
        <v>819</v>
      </c>
      <c r="C114" s="163">
        <v>2</v>
      </c>
      <c r="D114" s="164">
        <v>3.5</v>
      </c>
      <c r="E114" s="246">
        <f>1*D114</f>
        <v>3.5</v>
      </c>
      <c r="F114" s="736">
        <f t="shared" si="70"/>
        <v>7</v>
      </c>
      <c r="G114" s="247">
        <f t="shared" si="70"/>
        <v>7</v>
      </c>
      <c r="H114" s="247">
        <f t="shared" si="70"/>
        <v>7</v>
      </c>
      <c r="I114" s="247">
        <f t="shared" si="70"/>
        <v>7</v>
      </c>
      <c r="J114" s="247">
        <f t="shared" si="70"/>
        <v>7</v>
      </c>
      <c r="K114" s="247">
        <f t="shared" si="70"/>
        <v>7</v>
      </c>
      <c r="M114" s="191"/>
      <c r="N114" s="162" t="s">
        <v>819</v>
      </c>
      <c r="O114" s="163">
        <v>2</v>
      </c>
      <c r="P114" s="164">
        <v>3.5</v>
      </c>
      <c r="Q114" s="246">
        <f>1*P114</f>
        <v>3.5</v>
      </c>
      <c r="R114" s="247">
        <f t="shared" si="71"/>
        <v>7</v>
      </c>
      <c r="S114" s="247">
        <f t="shared" si="71"/>
        <v>7</v>
      </c>
      <c r="T114" s="247">
        <f t="shared" si="71"/>
        <v>7</v>
      </c>
      <c r="U114" s="247">
        <f t="shared" si="71"/>
        <v>7</v>
      </c>
      <c r="V114" s="247">
        <f t="shared" si="71"/>
        <v>7</v>
      </c>
      <c r="W114" s="247">
        <f t="shared" si="71"/>
        <v>7</v>
      </c>
    </row>
    <row r="115" spans="1:23" ht="12" customHeight="1">
      <c r="A115" s="191"/>
      <c r="B115" s="162" t="s">
        <v>821</v>
      </c>
      <c r="C115" s="163">
        <v>0.06</v>
      </c>
      <c r="D115" s="164">
        <v>21</v>
      </c>
      <c r="E115" s="246">
        <f>1*D115</f>
        <v>21</v>
      </c>
      <c r="F115" s="736">
        <f t="shared" si="70"/>
        <v>1.26</v>
      </c>
      <c r="G115" s="247">
        <f t="shared" si="70"/>
        <v>1.26</v>
      </c>
      <c r="H115" s="247">
        <f t="shared" si="70"/>
        <v>1.26</v>
      </c>
      <c r="I115" s="247">
        <f t="shared" si="70"/>
        <v>1.26</v>
      </c>
      <c r="J115" s="247">
        <f t="shared" si="70"/>
        <v>1.26</v>
      </c>
      <c r="K115" s="247">
        <f t="shared" si="70"/>
        <v>1.26</v>
      </c>
      <c r="M115" s="191"/>
      <c r="N115" s="162" t="s">
        <v>821</v>
      </c>
      <c r="O115" s="163">
        <v>0.06</v>
      </c>
      <c r="P115" s="164">
        <v>21</v>
      </c>
      <c r="Q115" s="246">
        <f>1*P115</f>
        <v>21</v>
      </c>
      <c r="R115" s="247">
        <f t="shared" si="71"/>
        <v>1.26</v>
      </c>
      <c r="S115" s="247">
        <f t="shared" si="71"/>
        <v>1.26</v>
      </c>
      <c r="T115" s="247">
        <f t="shared" si="71"/>
        <v>1.26</v>
      </c>
      <c r="U115" s="247">
        <f t="shared" si="71"/>
        <v>1.26</v>
      </c>
      <c r="V115" s="247">
        <f t="shared" si="71"/>
        <v>1.26</v>
      </c>
      <c r="W115" s="247">
        <f t="shared" si="71"/>
        <v>1.26</v>
      </c>
    </row>
    <row r="116" spans="1:23" ht="12" customHeight="1">
      <c r="A116" s="191"/>
      <c r="B116" s="162" t="s">
        <v>831</v>
      </c>
      <c r="C116" s="163">
        <v>4</v>
      </c>
      <c r="D116" s="164">
        <v>12</v>
      </c>
      <c r="E116" s="246">
        <f>1*D116</f>
        <v>12</v>
      </c>
      <c r="F116" s="736">
        <f t="shared" si="70"/>
        <v>48</v>
      </c>
      <c r="G116" s="247">
        <f t="shared" si="70"/>
        <v>48</v>
      </c>
      <c r="H116" s="247">
        <f t="shared" si="70"/>
        <v>48</v>
      </c>
      <c r="I116" s="247">
        <f t="shared" si="70"/>
        <v>48</v>
      </c>
      <c r="J116" s="247">
        <f t="shared" si="70"/>
        <v>48</v>
      </c>
      <c r="K116" s="247">
        <f t="shared" si="70"/>
        <v>48</v>
      </c>
      <c r="M116" s="191"/>
      <c r="N116" s="162" t="s">
        <v>831</v>
      </c>
      <c r="O116" s="163">
        <v>4</v>
      </c>
      <c r="P116" s="164">
        <v>12</v>
      </c>
      <c r="Q116" s="246">
        <f>1*P116</f>
        <v>12</v>
      </c>
      <c r="R116" s="247">
        <f t="shared" si="71"/>
        <v>48</v>
      </c>
      <c r="S116" s="247">
        <f t="shared" si="71"/>
        <v>48</v>
      </c>
      <c r="T116" s="247">
        <f t="shared" si="71"/>
        <v>48</v>
      </c>
      <c r="U116" s="247">
        <f t="shared" si="71"/>
        <v>48</v>
      </c>
      <c r="V116" s="247">
        <f t="shared" si="71"/>
        <v>48</v>
      </c>
      <c r="W116" s="247">
        <f t="shared" si="71"/>
        <v>48</v>
      </c>
    </row>
    <row r="117" spans="1:23" ht="12" customHeight="1">
      <c r="A117" s="191"/>
      <c r="B117" s="166" t="s">
        <v>823</v>
      </c>
      <c r="C117" s="166"/>
      <c r="D117" s="167"/>
      <c r="E117" s="681"/>
      <c r="F117" s="738">
        <f aca="true" t="shared" si="72" ref="F117:K117">SUM(F113:F116)</f>
        <v>71.66</v>
      </c>
      <c r="G117" s="280">
        <f t="shared" si="72"/>
        <v>71.66</v>
      </c>
      <c r="H117" s="739">
        <f t="shared" si="72"/>
        <v>71.66</v>
      </c>
      <c r="I117" s="739">
        <f t="shared" si="72"/>
        <v>71.66</v>
      </c>
      <c r="J117" s="280">
        <f t="shared" si="72"/>
        <v>71.66</v>
      </c>
      <c r="K117" s="280">
        <f t="shared" si="72"/>
        <v>71.66</v>
      </c>
      <c r="M117" s="191"/>
      <c r="N117" s="166" t="s">
        <v>823</v>
      </c>
      <c r="O117" s="166"/>
      <c r="P117" s="167"/>
      <c r="Q117" s="681"/>
      <c r="R117" s="739">
        <f aca="true" t="shared" si="73" ref="R117:W117">SUM(R113:R116)</f>
        <v>71.66</v>
      </c>
      <c r="S117" s="280">
        <f t="shared" si="73"/>
        <v>71.66</v>
      </c>
      <c r="T117" s="739">
        <f t="shared" si="73"/>
        <v>71.66</v>
      </c>
      <c r="U117" s="739">
        <f t="shared" si="73"/>
        <v>71.66</v>
      </c>
      <c r="V117" s="280">
        <f t="shared" si="73"/>
        <v>71.66</v>
      </c>
      <c r="W117" s="280">
        <f t="shared" si="73"/>
        <v>71.66</v>
      </c>
    </row>
    <row r="118" spans="1:23" ht="12" customHeight="1">
      <c r="A118" s="191"/>
      <c r="B118" s="180"/>
      <c r="C118" s="180"/>
      <c r="D118" s="171"/>
      <c r="E118" s="157"/>
      <c r="F118" s="764"/>
      <c r="G118" s="244"/>
      <c r="H118" s="157"/>
      <c r="I118" s="157"/>
      <c r="J118" s="244"/>
      <c r="K118" s="244"/>
      <c r="M118" s="191"/>
      <c r="N118" s="180"/>
      <c r="O118" s="180"/>
      <c r="P118" s="171"/>
      <c r="Q118" s="157"/>
      <c r="R118" s="171"/>
      <c r="S118" s="244"/>
      <c r="T118" s="157"/>
      <c r="U118" s="157"/>
      <c r="V118" s="244"/>
      <c r="W118" s="244"/>
    </row>
    <row r="119" spans="1:23" ht="12" customHeight="1" thickBot="1">
      <c r="A119" s="191"/>
      <c r="B119" s="166" t="s">
        <v>918</v>
      </c>
      <c r="C119" s="170"/>
      <c r="D119" s="180"/>
      <c r="E119" s="157"/>
      <c r="F119" s="821">
        <f aca="true" t="shared" si="74" ref="F119:K119">F110+F117</f>
        <v>101.75999999999999</v>
      </c>
      <c r="G119" s="282">
        <f t="shared" si="74"/>
        <v>101.75999999999999</v>
      </c>
      <c r="H119" s="250">
        <f t="shared" si="74"/>
        <v>101.75999999999999</v>
      </c>
      <c r="I119" s="250">
        <f t="shared" si="74"/>
        <v>101.75999999999999</v>
      </c>
      <c r="J119" s="282">
        <f t="shared" si="74"/>
        <v>101.75999999999999</v>
      </c>
      <c r="K119" s="282">
        <f t="shared" si="74"/>
        <v>101.75999999999999</v>
      </c>
      <c r="M119" s="191"/>
      <c r="N119" s="166" t="s">
        <v>918</v>
      </c>
      <c r="O119" s="170"/>
      <c r="P119" s="180"/>
      <c r="Q119" s="157"/>
      <c r="R119" s="250">
        <f aca="true" t="shared" si="75" ref="R119:W119">R110+R117</f>
        <v>101.75999999999999</v>
      </c>
      <c r="S119" s="282">
        <f t="shared" si="75"/>
        <v>101.75999999999999</v>
      </c>
      <c r="T119" s="250">
        <f t="shared" si="75"/>
        <v>101.75999999999999</v>
      </c>
      <c r="U119" s="250">
        <f t="shared" si="75"/>
        <v>101.75999999999999</v>
      </c>
      <c r="V119" s="282">
        <f t="shared" si="75"/>
        <v>101.75999999999999</v>
      </c>
      <c r="W119" s="282">
        <f t="shared" si="75"/>
        <v>101.75999999999999</v>
      </c>
    </row>
    <row r="120" spans="1:23" ht="12" customHeight="1" thickBot="1">
      <c r="A120" s="191"/>
      <c r="B120" s="170"/>
      <c r="C120" s="170"/>
      <c r="D120" s="180"/>
      <c r="E120" s="157"/>
      <c r="F120" s="745"/>
      <c r="G120" s="746"/>
      <c r="H120" s="745"/>
      <c r="I120" s="745"/>
      <c r="J120" s="746"/>
      <c r="K120" s="746"/>
      <c r="M120" s="191"/>
      <c r="N120" s="166" t="s">
        <v>824</v>
      </c>
      <c r="O120" s="170"/>
      <c r="P120" s="250" t="s">
        <v>919</v>
      </c>
      <c r="Q120" s="251"/>
      <c r="R120" s="1135" t="s">
        <v>912</v>
      </c>
      <c r="S120" s="1136"/>
      <c r="T120" s="1136"/>
      <c r="U120" s="1136"/>
      <c r="V120" s="1136"/>
      <c r="W120" s="1137"/>
    </row>
    <row r="121" spans="1:23" ht="12" customHeight="1" thickBot="1">
      <c r="A121" s="191"/>
      <c r="B121" s="166" t="s">
        <v>824</v>
      </c>
      <c r="C121" s="170"/>
      <c r="D121" s="250" t="s">
        <v>825</v>
      </c>
      <c r="E121" s="251"/>
      <c r="F121" s="1152" t="s">
        <v>912</v>
      </c>
      <c r="G121" s="1153"/>
      <c r="H121" s="1153"/>
      <c r="I121" s="1153"/>
      <c r="J121" s="1153"/>
      <c r="K121" s="1154"/>
      <c r="M121" s="191"/>
      <c r="N121" s="162" t="s">
        <v>826</v>
      </c>
      <c r="O121" s="252">
        <v>0.1</v>
      </c>
      <c r="P121" s="165">
        <f>O121*$P$100*$T$97</f>
        <v>4.9725</v>
      </c>
      <c r="Q121" s="155">
        <f>1*P121</f>
        <v>4.9725</v>
      </c>
      <c r="R121" s="167">
        <f aca="true" t="shared" si="76" ref="R121:W121">$Q121*R99/1000</f>
        <v>18.8955</v>
      </c>
      <c r="S121" s="167">
        <f t="shared" si="76"/>
        <v>19.89</v>
      </c>
      <c r="T121" s="167">
        <f t="shared" si="76"/>
        <v>20.8845</v>
      </c>
      <c r="U121" s="167">
        <f t="shared" si="76"/>
        <v>22.37625</v>
      </c>
      <c r="V121" s="167">
        <f t="shared" si="76"/>
        <v>23.868</v>
      </c>
      <c r="W121" s="167">
        <f t="shared" si="76"/>
        <v>21.38175</v>
      </c>
    </row>
    <row r="122" spans="1:23" ht="12" customHeight="1">
      <c r="A122" s="191"/>
      <c r="B122" s="162" t="s">
        <v>826</v>
      </c>
      <c r="C122" s="172">
        <v>0.1</v>
      </c>
      <c r="D122" s="165">
        <f>C122*D100</f>
        <v>5.8500000000000005</v>
      </c>
      <c r="E122" s="155">
        <f>1*D122</f>
        <v>5.8500000000000005</v>
      </c>
      <c r="F122" s="798">
        <f aca="true" t="shared" si="77" ref="F122:K122">$E122*F99/1000</f>
        <v>22.230000000000004</v>
      </c>
      <c r="G122" s="797">
        <f t="shared" si="77"/>
        <v>23.400000000000002</v>
      </c>
      <c r="H122" s="797">
        <f t="shared" si="77"/>
        <v>24.570000000000004</v>
      </c>
      <c r="I122" s="797">
        <f t="shared" si="77"/>
        <v>26.325000000000003</v>
      </c>
      <c r="J122" s="797">
        <f t="shared" si="77"/>
        <v>28.080000000000005</v>
      </c>
      <c r="K122" s="797">
        <f t="shared" si="77"/>
        <v>24.868350000000003</v>
      </c>
      <c r="M122" s="191"/>
      <c r="N122" s="162" t="s">
        <v>827</v>
      </c>
      <c r="O122" s="252">
        <v>1</v>
      </c>
      <c r="P122" s="155">
        <f>1*18</f>
        <v>18</v>
      </c>
      <c r="Q122" s="155">
        <f>1*P122</f>
        <v>18</v>
      </c>
      <c r="R122" s="167">
        <f aca="true" t="shared" si="78" ref="R122:W122">$P122*R99/1000</f>
        <v>68.4</v>
      </c>
      <c r="S122" s="167">
        <f t="shared" si="78"/>
        <v>72</v>
      </c>
      <c r="T122" s="167">
        <f t="shared" si="78"/>
        <v>75.6</v>
      </c>
      <c r="U122" s="167">
        <f t="shared" si="78"/>
        <v>81</v>
      </c>
      <c r="V122" s="167">
        <f t="shared" si="78"/>
        <v>86.4</v>
      </c>
      <c r="W122" s="167">
        <f t="shared" si="78"/>
        <v>77.4</v>
      </c>
    </row>
    <row r="123" spans="1:23" ht="12" customHeight="1">
      <c r="A123" s="191"/>
      <c r="B123" s="162" t="s">
        <v>827</v>
      </c>
      <c r="C123" s="172">
        <v>1</v>
      </c>
      <c r="D123" s="155">
        <f>C123*18</f>
        <v>18</v>
      </c>
      <c r="E123" s="155">
        <f>1*D123</f>
        <v>18</v>
      </c>
      <c r="F123" s="822">
        <f aca="true" t="shared" si="79" ref="F123:K123">$E123*F99/1000</f>
        <v>68.4</v>
      </c>
      <c r="G123" s="823">
        <f t="shared" si="79"/>
        <v>72</v>
      </c>
      <c r="H123" s="823">
        <f t="shared" si="79"/>
        <v>75.6</v>
      </c>
      <c r="I123" s="823">
        <f t="shared" si="79"/>
        <v>81</v>
      </c>
      <c r="J123" s="823">
        <f t="shared" si="79"/>
        <v>86.4</v>
      </c>
      <c r="K123" s="823">
        <f t="shared" si="79"/>
        <v>76.518</v>
      </c>
      <c r="M123" s="191"/>
      <c r="N123" s="174" t="s">
        <v>828</v>
      </c>
      <c r="O123" s="253">
        <v>0.01</v>
      </c>
      <c r="P123" s="165">
        <f>O123*$P$100*$T$97</f>
        <v>0.49724999999999997</v>
      </c>
      <c r="Q123" s="155">
        <f>1*P123</f>
        <v>0.49724999999999997</v>
      </c>
      <c r="R123" s="167">
        <f aca="true" t="shared" si="80" ref="R123:W123">$D124*R99/1000</f>
        <v>2.223</v>
      </c>
      <c r="S123" s="167">
        <f t="shared" si="80"/>
        <v>2.34</v>
      </c>
      <c r="T123" s="167">
        <f t="shared" si="80"/>
        <v>2.457</v>
      </c>
      <c r="U123" s="167">
        <f t="shared" si="80"/>
        <v>2.6325</v>
      </c>
      <c r="V123" s="167">
        <f t="shared" si="80"/>
        <v>2.808</v>
      </c>
      <c r="W123" s="167">
        <f t="shared" si="80"/>
        <v>2.5155</v>
      </c>
    </row>
    <row r="124" spans="1:23" ht="12" customHeight="1">
      <c r="A124" s="191"/>
      <c r="B124" s="174" t="s">
        <v>828</v>
      </c>
      <c r="C124" s="175">
        <v>0.01</v>
      </c>
      <c r="D124" s="824">
        <f>C124*D100</f>
        <v>0.585</v>
      </c>
      <c r="E124" s="155">
        <f>1*D124</f>
        <v>0.585</v>
      </c>
      <c r="F124" s="822">
        <f aca="true" t="shared" si="81" ref="F124:K124">$E124*F99/1000</f>
        <v>2.223</v>
      </c>
      <c r="G124" s="823">
        <f t="shared" si="81"/>
        <v>2.34</v>
      </c>
      <c r="H124" s="823">
        <f t="shared" si="81"/>
        <v>2.457</v>
      </c>
      <c r="I124" s="823">
        <f t="shared" si="81"/>
        <v>2.6325</v>
      </c>
      <c r="J124" s="823">
        <f t="shared" si="81"/>
        <v>2.808</v>
      </c>
      <c r="K124" s="823">
        <f t="shared" si="81"/>
        <v>2.486835</v>
      </c>
      <c r="M124" s="191"/>
      <c r="N124" s="174" t="s">
        <v>520</v>
      </c>
      <c r="O124" s="253">
        <v>0.00121</v>
      </c>
      <c r="P124" s="165">
        <f>O124*$P$100*$T$97</f>
        <v>0.06016725</v>
      </c>
      <c r="Q124" s="155">
        <f>1*P124</f>
        <v>0.06016725</v>
      </c>
      <c r="R124" s="167">
        <f aca="true" t="shared" si="82" ref="R124:W124">$D125*R99/1000</f>
        <v>0.268983</v>
      </c>
      <c r="S124" s="167">
        <f t="shared" si="82"/>
        <v>0.28314</v>
      </c>
      <c r="T124" s="167">
        <f t="shared" si="82"/>
        <v>0.29729700000000003</v>
      </c>
      <c r="U124" s="167">
        <f t="shared" si="82"/>
        <v>0.31853250000000005</v>
      </c>
      <c r="V124" s="167">
        <f t="shared" si="82"/>
        <v>0.339768</v>
      </c>
      <c r="W124" s="167">
        <f t="shared" si="82"/>
        <v>0.30437549999999997</v>
      </c>
    </row>
    <row r="125" spans="1:23" ht="12" customHeight="1">
      <c r="A125" s="191"/>
      <c r="B125" s="174" t="s">
        <v>520</v>
      </c>
      <c r="C125" s="175">
        <v>0.00121</v>
      </c>
      <c r="D125" s="824">
        <f>C125*D100</f>
        <v>0.070785</v>
      </c>
      <c r="E125" s="155">
        <f>1*D125</f>
        <v>0.070785</v>
      </c>
      <c r="F125" s="822">
        <f aca="true" t="shared" si="83" ref="F125:K125">$E125*F99/1000</f>
        <v>0.268983</v>
      </c>
      <c r="G125" s="823">
        <f t="shared" si="83"/>
        <v>0.28314</v>
      </c>
      <c r="H125" s="823">
        <f t="shared" si="83"/>
        <v>0.29729700000000003</v>
      </c>
      <c r="I125" s="823">
        <f t="shared" si="83"/>
        <v>0.31853250000000005</v>
      </c>
      <c r="J125" s="823">
        <f t="shared" si="83"/>
        <v>0.339768</v>
      </c>
      <c r="K125" s="823">
        <f t="shared" si="83"/>
        <v>0.300907035</v>
      </c>
      <c r="M125" s="191"/>
      <c r="N125" s="166" t="s">
        <v>829</v>
      </c>
      <c r="O125" s="176"/>
      <c r="P125" s="739">
        <f aca="true" t="shared" si="84" ref="P125:W125">SUM(P121:P124)</f>
        <v>23.52991725</v>
      </c>
      <c r="Q125" s="739">
        <f t="shared" si="84"/>
        <v>23.52991725</v>
      </c>
      <c r="R125" s="739">
        <f t="shared" si="84"/>
        <v>89.78748300000001</v>
      </c>
      <c r="S125" s="280">
        <f t="shared" si="84"/>
        <v>94.51314</v>
      </c>
      <c r="T125" s="739">
        <f t="shared" si="84"/>
        <v>99.23879699999999</v>
      </c>
      <c r="U125" s="739">
        <f t="shared" si="84"/>
        <v>106.3272825</v>
      </c>
      <c r="V125" s="280">
        <f t="shared" si="84"/>
        <v>113.415768</v>
      </c>
      <c r="W125" s="280">
        <f t="shared" si="84"/>
        <v>101.60162550000001</v>
      </c>
    </row>
    <row r="126" spans="1:23" ht="12" customHeight="1">
      <c r="A126" s="191"/>
      <c r="B126" s="166" t="s">
        <v>829</v>
      </c>
      <c r="C126" s="176"/>
      <c r="D126" s="739">
        <f aca="true" t="shared" si="85" ref="D126:K126">SUM(D122:D125)</f>
        <v>24.505785000000003</v>
      </c>
      <c r="E126" s="739">
        <f t="shared" si="85"/>
        <v>24.505785000000003</v>
      </c>
      <c r="F126" s="738">
        <f t="shared" si="85"/>
        <v>93.12198300000001</v>
      </c>
      <c r="G126" s="280">
        <f t="shared" si="85"/>
        <v>98.02314000000001</v>
      </c>
      <c r="H126" s="739">
        <f t="shared" si="85"/>
        <v>102.924297</v>
      </c>
      <c r="I126" s="739">
        <f t="shared" si="85"/>
        <v>110.2760325</v>
      </c>
      <c r="J126" s="280">
        <f t="shared" si="85"/>
        <v>117.62776800000002</v>
      </c>
      <c r="K126" s="280">
        <f t="shared" si="85"/>
        <v>104.174092035</v>
      </c>
      <c r="M126" s="191"/>
      <c r="N126" s="180"/>
      <c r="O126" s="157"/>
      <c r="P126" s="756"/>
      <c r="Q126" s="157"/>
      <c r="R126" s="171"/>
      <c r="S126" s="244"/>
      <c r="T126" s="157"/>
      <c r="U126" s="157"/>
      <c r="V126" s="244"/>
      <c r="W126" s="244"/>
    </row>
    <row r="127" spans="1:23" ht="12" customHeight="1">
      <c r="A127" s="191"/>
      <c r="B127" s="180"/>
      <c r="C127" s="157"/>
      <c r="D127" s="756"/>
      <c r="E127" s="157"/>
      <c r="F127" s="764"/>
      <c r="G127" s="244"/>
      <c r="H127" s="157"/>
      <c r="I127" s="157"/>
      <c r="J127" s="244"/>
      <c r="K127" s="244"/>
      <c r="M127" s="191"/>
      <c r="N127" s="757" t="s">
        <v>921</v>
      </c>
      <c r="O127" s="758"/>
      <c r="P127" s="759"/>
      <c r="Q127" s="157"/>
      <c r="R127" s="825">
        <f aca="true" t="shared" si="86" ref="R127:W127">R110+R117+R125</f>
        <v>191.547483</v>
      </c>
      <c r="S127" s="290">
        <f t="shared" si="86"/>
        <v>196.27314</v>
      </c>
      <c r="T127" s="825">
        <f t="shared" si="86"/>
        <v>200.99879699999997</v>
      </c>
      <c r="U127" s="825">
        <f t="shared" si="86"/>
        <v>208.0872825</v>
      </c>
      <c r="V127" s="290">
        <f t="shared" si="86"/>
        <v>215.175768</v>
      </c>
      <c r="W127" s="290">
        <f t="shared" si="86"/>
        <v>203.3616255</v>
      </c>
    </row>
    <row r="128" spans="1:23" ht="12" customHeight="1">
      <c r="A128" s="191"/>
      <c r="B128" s="757" t="s">
        <v>921</v>
      </c>
      <c r="C128" s="758"/>
      <c r="D128" s="759"/>
      <c r="E128" s="157"/>
      <c r="F128" s="826">
        <f aca="true" t="shared" si="87" ref="F128:K128">F110+F117+F126</f>
        <v>194.881983</v>
      </c>
      <c r="G128" s="827">
        <f t="shared" si="87"/>
        <v>199.78314</v>
      </c>
      <c r="H128" s="828">
        <f t="shared" si="87"/>
        <v>204.684297</v>
      </c>
      <c r="I128" s="828">
        <f t="shared" si="87"/>
        <v>212.03603249999998</v>
      </c>
      <c r="J128" s="827">
        <f t="shared" si="87"/>
        <v>219.387768</v>
      </c>
      <c r="K128" s="827">
        <f t="shared" si="87"/>
        <v>205.934092035</v>
      </c>
      <c r="M128" s="191"/>
      <c r="N128" s="206" t="s">
        <v>922</v>
      </c>
      <c r="O128" s="255"/>
      <c r="P128" s="256"/>
      <c r="Q128" s="157"/>
      <c r="R128" s="739">
        <f aca="true" t="shared" si="88" ref="R128:W128">R101-R127</f>
        <v>-2.592482999999987</v>
      </c>
      <c r="S128" s="280">
        <f t="shared" si="88"/>
        <v>2.6268599999999935</v>
      </c>
      <c r="T128" s="739">
        <f t="shared" si="88"/>
        <v>7.846203000000031</v>
      </c>
      <c r="U128" s="739">
        <f t="shared" si="88"/>
        <v>15.675217500000002</v>
      </c>
      <c r="V128" s="739">
        <f t="shared" si="88"/>
        <v>23.504232000000002</v>
      </c>
      <c r="W128" s="739">
        <f t="shared" si="88"/>
        <v>10.455874499999993</v>
      </c>
    </row>
    <row r="129" spans="1:16" ht="12" customHeight="1" thickBot="1">
      <c r="A129" s="191"/>
      <c r="B129" s="206" t="s">
        <v>922</v>
      </c>
      <c r="C129" s="255"/>
      <c r="D129" s="256"/>
      <c r="E129" s="157"/>
      <c r="F129" s="821">
        <f aca="true" t="shared" si="89" ref="F129:K129">F101-F128</f>
        <v>27.41801700000002</v>
      </c>
      <c r="G129" s="282">
        <f t="shared" si="89"/>
        <v>34.21686</v>
      </c>
      <c r="H129" s="250">
        <f t="shared" si="89"/>
        <v>41.015703</v>
      </c>
      <c r="I129" s="250">
        <f t="shared" si="89"/>
        <v>51.213967500000024</v>
      </c>
      <c r="J129" s="250">
        <f t="shared" si="89"/>
        <v>61.41223200000002</v>
      </c>
      <c r="K129" s="250">
        <f t="shared" si="89"/>
        <v>42.74940796500002</v>
      </c>
      <c r="M129" s="191"/>
      <c r="N129" s="201" t="s">
        <v>923</v>
      </c>
      <c r="O129" s="258"/>
      <c r="P129" s="259">
        <f>(R119/(P100*T97-P125))*1000</f>
        <v>3884.6985509141023</v>
      </c>
    </row>
    <row r="130" spans="1:23" ht="12" customHeight="1" thickBot="1">
      <c r="A130" s="191"/>
      <c r="B130" s="201" t="s">
        <v>923</v>
      </c>
      <c r="C130" s="258"/>
      <c r="D130" s="771">
        <f>(F119)/(D100-D126)*1000</f>
        <v>2993.4505032694533</v>
      </c>
      <c r="F130" s="65"/>
      <c r="M130" s="191"/>
      <c r="N130" s="260" t="s">
        <v>924</v>
      </c>
      <c r="O130" s="261"/>
      <c r="P130" s="261"/>
      <c r="Q130" s="261"/>
      <c r="R130" s="263">
        <f>(R119+P122*R99/1000)/((R99/1000-R99/1000*(O121+O123+O124)))</f>
        <v>50.38192077816025</v>
      </c>
      <c r="S130" s="263">
        <f>(S119+$P$122*$T$97*S99/1000)/((S99/1000-S99/1000*($O$121+$O$123+$O$124)))/$T$97</f>
        <v>53.926587568161075</v>
      </c>
      <c r="T130" s="263">
        <f>(T119+$P$122*$T$97*T99/1000)/((T99/1000-T99/1000*($O$121+$O$123+$O$124)))/$T$97</f>
        <v>52.32304782982737</v>
      </c>
      <c r="U130" s="263">
        <f>(U119+$P$122*$T$97*U99/1000)/((U99/1000-U99/1000*($O$121+$O$123+$O$124)))/$T$97</f>
        <v>50.18499484538243</v>
      </c>
      <c r="V130" s="263">
        <f>(V119+$P$122*$T$97*V99/1000)/((V99/1000-V99/1000*($O$121+$O$123+$O$124)))/$T$97</f>
        <v>48.3141984839931</v>
      </c>
      <c r="W130" s="263">
        <f>(W119+$P$122*$T$97*W99/1000)/((W99/1000-W99/1000*($O$121+$O$123+$O$124)))/$T$97</f>
        <v>51.5772153933931</v>
      </c>
    </row>
    <row r="131" spans="1:11" ht="12" customHeight="1" thickBot="1">
      <c r="A131" s="191"/>
      <c r="B131" s="260" t="s">
        <v>924</v>
      </c>
      <c r="C131" s="261"/>
      <c r="D131" s="261"/>
      <c r="E131" s="261"/>
      <c r="F131" s="829">
        <f aca="true" t="shared" si="90" ref="F131:K131">(F119+$D$123*F99/1000)/((F99/1000-F99/1000*($C$122+$C$124+$C$125)))</f>
        <v>50.38192077816025</v>
      </c>
      <c r="G131" s="263">
        <f t="shared" si="90"/>
        <v>48.87543739240991</v>
      </c>
      <c r="H131" s="263">
        <f t="shared" si="90"/>
        <v>47.51242861482625</v>
      </c>
      <c r="I131" s="263">
        <f t="shared" si="90"/>
        <v>45.695083578048056</v>
      </c>
      <c r="J131" s="830">
        <f t="shared" si="90"/>
        <v>44.10490667086713</v>
      </c>
      <c r="K131" s="830">
        <f t="shared" si="90"/>
        <v>47.18538346000731</v>
      </c>
    </row>
    <row r="132" ht="12" customHeight="1">
      <c r="A132" s="191"/>
    </row>
    <row r="133" spans="1:14" ht="12.75">
      <c r="A133" s="191"/>
      <c r="B133" s="776" t="s">
        <v>521</v>
      </c>
      <c r="N133" s="776" t="s">
        <v>521</v>
      </c>
    </row>
    <row r="134" spans="1:23" ht="12.75">
      <c r="A134" s="777"/>
      <c r="B134" s="779"/>
      <c r="C134" s="779"/>
      <c r="D134" s="779"/>
      <c r="E134" s="779"/>
      <c r="F134" s="779"/>
      <c r="G134" s="779"/>
      <c r="H134" s="779"/>
      <c r="I134" s="779"/>
      <c r="J134" s="779"/>
      <c r="K134" s="779"/>
      <c r="L134" s="779"/>
      <c r="M134" s="777"/>
      <c r="N134" s="779"/>
      <c r="O134" s="779"/>
      <c r="P134" s="779"/>
      <c r="Q134" s="779"/>
      <c r="R134" s="779"/>
      <c r="S134" s="779"/>
      <c r="T134" s="779"/>
      <c r="U134" s="779"/>
      <c r="V134" s="779"/>
      <c r="W134" s="779"/>
    </row>
    <row r="135" spans="1:13" ht="15.75">
      <c r="A135" s="1131" t="s">
        <v>524</v>
      </c>
      <c r="B135" s="1131"/>
      <c r="C135" s="1131"/>
      <c r="D135" s="1131"/>
      <c r="E135" s="1131"/>
      <c r="F135" s="1131"/>
      <c r="G135" s="1131"/>
      <c r="H135" s="1131"/>
      <c r="I135" s="1131"/>
      <c r="J135" s="1131"/>
      <c r="K135" s="1131"/>
      <c r="M135" s="191"/>
    </row>
    <row r="136" spans="1:13" ht="12.75">
      <c r="A136" s="191"/>
      <c r="B136" s="704" t="s">
        <v>898</v>
      </c>
      <c r="C136" s="705" t="s">
        <v>288</v>
      </c>
      <c r="E136" s="194"/>
      <c r="F136" s="194"/>
      <c r="M136" s="191"/>
    </row>
    <row r="137" spans="1:23" ht="15.75">
      <c r="A137" s="191"/>
      <c r="B137" s="706" t="s">
        <v>899</v>
      </c>
      <c r="C137" s="816"/>
      <c r="E137" s="196" t="s">
        <v>289</v>
      </c>
      <c r="M137" s="1131" t="s">
        <v>516</v>
      </c>
      <c r="N137" s="1131"/>
      <c r="O137" s="1131"/>
      <c r="P137" s="1131"/>
      <c r="Q137" s="1131"/>
      <c r="R137" s="1131"/>
      <c r="S137" s="1131"/>
      <c r="T137" s="1131"/>
      <c r="U137" s="1131"/>
      <c r="V137" s="1131"/>
      <c r="W137" s="1131"/>
    </row>
    <row r="138" spans="1:18" ht="13.5" thickBot="1">
      <c r="A138" s="191"/>
      <c r="B138" s="197"/>
      <c r="C138" s="197"/>
      <c r="D138" s="197"/>
      <c r="F138" s="180"/>
      <c r="G138" s="25" t="s">
        <v>328</v>
      </c>
      <c r="H138" s="198">
        <v>0.85</v>
      </c>
      <c r="I138" s="157"/>
      <c r="J138" s="157"/>
      <c r="M138" s="191"/>
      <c r="N138" s="192" t="s">
        <v>898</v>
      </c>
      <c r="O138" s="831" t="s">
        <v>290</v>
      </c>
      <c r="Q138" s="194"/>
      <c r="R138" s="194"/>
    </row>
    <row r="139" spans="1:17" ht="13.5" thickBot="1">
      <c r="A139" s="191"/>
      <c r="B139" s="708" t="s">
        <v>901</v>
      </c>
      <c r="C139" s="709"/>
      <c r="D139" s="201" t="s">
        <v>902</v>
      </c>
      <c r="F139" s="1132" t="s">
        <v>903</v>
      </c>
      <c r="G139" s="1133"/>
      <c r="H139" s="1133"/>
      <c r="I139" s="1133"/>
      <c r="J139" s="1134"/>
      <c r="K139" s="712" t="s">
        <v>904</v>
      </c>
      <c r="M139" s="191"/>
      <c r="N139" s="195" t="s">
        <v>899</v>
      </c>
      <c r="O139" s="157"/>
      <c r="Q139" s="196" t="s">
        <v>291</v>
      </c>
    </row>
    <row r="140" spans="1:22" ht="13.5" thickBot="1">
      <c r="A140" s="191"/>
      <c r="B140" s="713"/>
      <c r="C140" s="714"/>
      <c r="D140" s="206" t="s">
        <v>905</v>
      </c>
      <c r="F140" s="207">
        <v>1400</v>
      </c>
      <c r="G140" s="208">
        <v>1500</v>
      </c>
      <c r="H140" s="818">
        <v>1650</v>
      </c>
      <c r="I140" s="209">
        <v>1800</v>
      </c>
      <c r="J140" s="210">
        <v>2500</v>
      </c>
      <c r="K140" s="159">
        <v>1758</v>
      </c>
      <c r="M140" s="191"/>
      <c r="N140" s="197"/>
      <c r="O140" s="197"/>
      <c r="P140" s="197"/>
      <c r="R140" s="180"/>
      <c r="S140" s="57" t="s">
        <v>328</v>
      </c>
      <c r="T140" s="198">
        <v>0.8</v>
      </c>
      <c r="U140" s="157"/>
      <c r="V140" s="157"/>
    </row>
    <row r="141" spans="1:23" ht="13.5" thickBot="1">
      <c r="A141" s="191"/>
      <c r="B141" s="180" t="s">
        <v>906</v>
      </c>
      <c r="C141" s="211"/>
      <c r="D141" s="212">
        <v>85</v>
      </c>
      <c r="F141" s="213"/>
      <c r="G141" s="214"/>
      <c r="H141" s="214"/>
      <c r="I141" s="215"/>
      <c r="J141" s="214"/>
      <c r="M141" s="191"/>
      <c r="N141" s="199" t="s">
        <v>901</v>
      </c>
      <c r="O141" s="709"/>
      <c r="P141" s="201" t="s">
        <v>902</v>
      </c>
      <c r="R141" s="1132" t="s">
        <v>903</v>
      </c>
      <c r="S141" s="1133"/>
      <c r="T141" s="1133"/>
      <c r="U141" s="1133"/>
      <c r="V141" s="1134"/>
      <c r="W141" s="712" t="s">
        <v>904</v>
      </c>
    </row>
    <row r="142" spans="1:23" ht="12.75">
      <c r="A142" s="191"/>
      <c r="B142" s="216" t="s">
        <v>907</v>
      </c>
      <c r="C142" s="217"/>
      <c r="D142" s="218"/>
      <c r="F142" s="219">
        <f aca="true" t="shared" si="91" ref="F142:K142">$D$141*F140*$H138/1000</f>
        <v>101.15</v>
      </c>
      <c r="G142" s="219">
        <f t="shared" si="91"/>
        <v>108.375</v>
      </c>
      <c r="H142" s="219">
        <f t="shared" si="91"/>
        <v>119.2125</v>
      </c>
      <c r="I142" s="219">
        <f t="shared" si="91"/>
        <v>130.05</v>
      </c>
      <c r="J142" s="219">
        <f t="shared" si="91"/>
        <v>180.625</v>
      </c>
      <c r="K142" s="219">
        <f t="shared" si="91"/>
        <v>127.0155</v>
      </c>
      <c r="M142" s="191"/>
      <c r="N142" s="713"/>
      <c r="O142" s="714"/>
      <c r="P142" s="206" t="s">
        <v>905</v>
      </c>
      <c r="R142" s="207">
        <v>1000</v>
      </c>
      <c r="S142" s="208">
        <v>1200</v>
      </c>
      <c r="T142" s="207">
        <v>1500</v>
      </c>
      <c r="U142" s="209">
        <v>1800</v>
      </c>
      <c r="V142" s="210">
        <v>2100</v>
      </c>
      <c r="W142" s="159">
        <v>1384</v>
      </c>
    </row>
    <row r="143" spans="1:22" ht="13.5" thickBot="1">
      <c r="A143" s="191"/>
      <c r="B143" s="216" t="s">
        <v>908</v>
      </c>
      <c r="C143" s="217"/>
      <c r="D143" s="220"/>
      <c r="F143" s="221"/>
      <c r="G143" s="222"/>
      <c r="J143" s="65"/>
      <c r="K143" s="65"/>
      <c r="M143" s="191"/>
      <c r="N143" s="180" t="s">
        <v>906</v>
      </c>
      <c r="O143" s="211"/>
      <c r="P143" s="212">
        <v>135</v>
      </c>
      <c r="R143" s="213"/>
      <c r="S143" s="214"/>
      <c r="T143" s="215"/>
      <c r="U143" s="215"/>
      <c r="V143" s="214"/>
    </row>
    <row r="144" spans="1:23" ht="13.5" thickBot="1">
      <c r="A144" s="191"/>
      <c r="B144" s="724" t="s">
        <v>909</v>
      </c>
      <c r="C144" s="164">
        <v>14</v>
      </c>
      <c r="G144" s="224"/>
      <c r="J144" s="65"/>
      <c r="K144" s="65"/>
      <c r="M144" s="191"/>
      <c r="N144" s="216" t="s">
        <v>907</v>
      </c>
      <c r="O144" s="217"/>
      <c r="P144" s="218"/>
      <c r="R144" s="219">
        <f aca="true" t="shared" si="92" ref="R144:W144">R142*$P$143*$T$140/1000</f>
        <v>108</v>
      </c>
      <c r="S144" s="219">
        <f t="shared" si="92"/>
        <v>129.6</v>
      </c>
      <c r="T144" s="219">
        <f t="shared" si="92"/>
        <v>162</v>
      </c>
      <c r="U144" s="219">
        <f t="shared" si="92"/>
        <v>194.4</v>
      </c>
      <c r="V144" s="219">
        <f t="shared" si="92"/>
        <v>226.8</v>
      </c>
      <c r="W144" s="219">
        <f t="shared" si="92"/>
        <v>149.472</v>
      </c>
    </row>
    <row r="145" spans="1:23" ht="13.5" thickBot="1">
      <c r="A145" s="161" t="s">
        <v>512</v>
      </c>
      <c r="B145" s="726"/>
      <c r="C145" s="227" t="s">
        <v>817</v>
      </c>
      <c r="D145" s="219" t="s">
        <v>910</v>
      </c>
      <c r="E145" s="727" t="s">
        <v>911</v>
      </c>
      <c r="F145" s="1135" t="s">
        <v>912</v>
      </c>
      <c r="G145" s="1136"/>
      <c r="H145" s="1136"/>
      <c r="I145" s="1136"/>
      <c r="J145" s="1136"/>
      <c r="K145" s="1137"/>
      <c r="M145" s="191"/>
      <c r="N145" s="216" t="s">
        <v>908</v>
      </c>
      <c r="O145" s="217"/>
      <c r="P145" s="220"/>
      <c r="R145" s="221"/>
      <c r="S145" s="222"/>
      <c r="V145" s="65"/>
      <c r="W145" s="65"/>
    </row>
    <row r="146" spans="1:23" ht="13.5" thickBot="1">
      <c r="A146" s="225">
        <v>18</v>
      </c>
      <c r="B146" s="234" t="str">
        <f>IF($A146&lt;&gt;0,VLOOKUP($A146,equi,2),"")</f>
        <v>Siembra Gruesa - Labranza Cero</v>
      </c>
      <c r="C146" s="232">
        <v>1</v>
      </c>
      <c r="D146" s="235">
        <f>IF($A146&lt;&gt;0,VLOOKUP($A146,equi,3),"")</f>
        <v>0.65</v>
      </c>
      <c r="E146" s="165">
        <f>D146*$C$144</f>
        <v>9.1</v>
      </c>
      <c r="F146" s="782">
        <f aca="true" t="shared" si="93" ref="F146:K148">$E146*$C146</f>
        <v>9.1</v>
      </c>
      <c r="G146" s="782">
        <f t="shared" si="93"/>
        <v>9.1</v>
      </c>
      <c r="H146" s="783">
        <f t="shared" si="93"/>
        <v>9.1</v>
      </c>
      <c r="I146" s="782">
        <f t="shared" si="93"/>
        <v>9.1</v>
      </c>
      <c r="J146" s="782">
        <f t="shared" si="93"/>
        <v>9.1</v>
      </c>
      <c r="K146" s="782">
        <f t="shared" si="93"/>
        <v>9.1</v>
      </c>
      <c r="M146" s="191"/>
      <c r="N146" s="724" t="s">
        <v>909</v>
      </c>
      <c r="O146" s="164">
        <v>14</v>
      </c>
      <c r="S146" s="224"/>
      <c r="V146" s="65"/>
      <c r="W146" s="65"/>
    </row>
    <row r="147" spans="1:23" ht="13.5" thickBot="1">
      <c r="A147" s="225">
        <v>22</v>
      </c>
      <c r="B147" s="234" t="str">
        <f>IF($A147&lt;&gt;0,VLOOKUP($A147,equi,2),"")</f>
        <v>Pulverización Terrestre p/Herbicidas y Defoliantes</v>
      </c>
      <c r="C147" s="232">
        <v>1</v>
      </c>
      <c r="D147" s="235">
        <f>IF($A147&lt;&gt;0,VLOOKUP($A147,equi,3),"")</f>
        <v>0.25</v>
      </c>
      <c r="E147" s="165">
        <f>D147*$C$144</f>
        <v>3.5</v>
      </c>
      <c r="F147" s="785">
        <f t="shared" si="93"/>
        <v>3.5</v>
      </c>
      <c r="G147" s="785">
        <f t="shared" si="93"/>
        <v>3.5</v>
      </c>
      <c r="H147" s="786">
        <f t="shared" si="93"/>
        <v>3.5</v>
      </c>
      <c r="I147" s="785">
        <f t="shared" si="93"/>
        <v>3.5</v>
      </c>
      <c r="J147" s="785">
        <f t="shared" si="93"/>
        <v>3.5</v>
      </c>
      <c r="K147" s="785">
        <f t="shared" si="93"/>
        <v>3.5</v>
      </c>
      <c r="M147" s="155" t="s">
        <v>512</v>
      </c>
      <c r="N147" s="726"/>
      <c r="O147" s="227" t="s">
        <v>817</v>
      </c>
      <c r="P147" s="219" t="s">
        <v>910</v>
      </c>
      <c r="Q147" s="160" t="s">
        <v>911</v>
      </c>
      <c r="R147" s="1135" t="s">
        <v>912</v>
      </c>
      <c r="S147" s="1136"/>
      <c r="T147" s="1136"/>
      <c r="U147" s="1136"/>
      <c r="V147" s="1136"/>
      <c r="W147" s="1137"/>
    </row>
    <row r="148" spans="1:24" ht="12.75">
      <c r="A148" s="225">
        <v>23</v>
      </c>
      <c r="B148" s="234" t="str">
        <f>IF($A148&lt;&gt;0,VLOOKUP($A148,equi,2),"")</f>
        <v>Pulverización Terrestre p/Insecticidas</v>
      </c>
      <c r="C148" s="232">
        <v>2</v>
      </c>
      <c r="D148" s="235">
        <f>IF($A148&lt;&gt;0,VLOOKUP($A148,equi,3),"")</f>
        <v>0.3</v>
      </c>
      <c r="E148" s="165">
        <f>D148*$C$144</f>
        <v>4.2</v>
      </c>
      <c r="F148" s="785">
        <f t="shared" si="93"/>
        <v>8.4</v>
      </c>
      <c r="G148" s="785">
        <f t="shared" si="93"/>
        <v>8.4</v>
      </c>
      <c r="H148" s="786">
        <f t="shared" si="93"/>
        <v>8.4</v>
      </c>
      <c r="I148" s="785">
        <f t="shared" si="93"/>
        <v>8.4</v>
      </c>
      <c r="J148" s="785">
        <f t="shared" si="93"/>
        <v>8.4</v>
      </c>
      <c r="K148" s="785">
        <f t="shared" si="93"/>
        <v>8.4</v>
      </c>
      <c r="M148" s="225">
        <v>18</v>
      </c>
      <c r="N148" s="784" t="str">
        <f>IF($M148&lt;&gt;0,VLOOKUP($M148,equi,2),"")</f>
        <v>Siembra Gruesa - Labranza Cero</v>
      </c>
      <c r="O148" s="232">
        <v>1</v>
      </c>
      <c r="P148" s="235">
        <f>IF($M148&lt;&gt;0,VLOOKUP($M148,equi,3),"")</f>
        <v>0.65</v>
      </c>
      <c r="Q148" s="165">
        <f>P148*$O$146</f>
        <v>9.1</v>
      </c>
      <c r="R148" s="785">
        <f>$Q148*$O148</f>
        <v>9.1</v>
      </c>
      <c r="S148" s="785">
        <f aca="true" t="shared" si="94" ref="S148:W150">$Q148*$O148</f>
        <v>9.1</v>
      </c>
      <c r="T148" s="785">
        <f t="shared" si="94"/>
        <v>9.1</v>
      </c>
      <c r="U148" s="785">
        <f t="shared" si="94"/>
        <v>9.1</v>
      </c>
      <c r="V148" s="785">
        <f t="shared" si="94"/>
        <v>9.1</v>
      </c>
      <c r="W148" s="785">
        <f t="shared" si="94"/>
        <v>9.1</v>
      </c>
      <c r="X148" s="157"/>
    </row>
    <row r="149" spans="1:24" ht="12.75">
      <c r="A149" s="191"/>
      <c r="B149" s="166" t="s">
        <v>913</v>
      </c>
      <c r="C149" s="166"/>
      <c r="D149" s="236"/>
      <c r="E149" s="237"/>
      <c r="F149" s="238">
        <f aca="true" t="shared" si="95" ref="F149:K149">SUM(F146:F148)</f>
        <v>21</v>
      </c>
      <c r="G149" s="239">
        <f t="shared" si="95"/>
        <v>21</v>
      </c>
      <c r="H149" s="733">
        <f t="shared" si="95"/>
        <v>21</v>
      </c>
      <c r="I149" s="240">
        <f t="shared" si="95"/>
        <v>21</v>
      </c>
      <c r="J149" s="239">
        <f t="shared" si="95"/>
        <v>21</v>
      </c>
      <c r="K149" s="239">
        <f t="shared" si="95"/>
        <v>21</v>
      </c>
      <c r="M149" s="225">
        <v>22</v>
      </c>
      <c r="N149" s="784" t="str">
        <f>IF($M149&lt;&gt;0,VLOOKUP($M149,equi,2),"")</f>
        <v>Pulverización Terrestre p/Herbicidas y Defoliantes</v>
      </c>
      <c r="O149" s="232">
        <v>1</v>
      </c>
      <c r="P149" s="235">
        <f>IF($M149&lt;&gt;0,VLOOKUP($M149,equi,3),"")</f>
        <v>0.25</v>
      </c>
      <c r="Q149" s="165">
        <f>P149*$O$146</f>
        <v>3.5</v>
      </c>
      <c r="R149" s="785">
        <f>$Q149*$O149</f>
        <v>3.5</v>
      </c>
      <c r="S149" s="785">
        <f t="shared" si="94"/>
        <v>3.5</v>
      </c>
      <c r="T149" s="785">
        <f t="shared" si="94"/>
        <v>3.5</v>
      </c>
      <c r="U149" s="785">
        <f t="shared" si="94"/>
        <v>3.5</v>
      </c>
      <c r="V149" s="785">
        <f t="shared" si="94"/>
        <v>3.5</v>
      </c>
      <c r="W149" s="785">
        <f t="shared" si="94"/>
        <v>3.5</v>
      </c>
      <c r="X149" s="157"/>
    </row>
    <row r="150" spans="1:24" ht="13.5" thickBot="1">
      <c r="A150" s="191"/>
      <c r="B150" s="166"/>
      <c r="C150" s="170"/>
      <c r="D150" s="241"/>
      <c r="E150" s="157"/>
      <c r="F150" s="242"/>
      <c r="G150" s="243"/>
      <c r="H150" s="157"/>
      <c r="I150" s="157"/>
      <c r="J150" s="244"/>
      <c r="K150" s="244"/>
      <c r="M150" s="225">
        <v>23</v>
      </c>
      <c r="N150" s="784" t="str">
        <f>IF($M150&lt;&gt;0,VLOOKUP($M150,equi,2),"")</f>
        <v>Pulverización Terrestre p/Insecticidas</v>
      </c>
      <c r="O150" s="232">
        <v>2</v>
      </c>
      <c r="P150" s="235">
        <f>IF($M150&lt;&gt;0,VLOOKUP($M150,equi,3),"")</f>
        <v>0.3</v>
      </c>
      <c r="Q150" s="165">
        <f>P150*$O$146</f>
        <v>4.2</v>
      </c>
      <c r="R150" s="785">
        <f>$Q150*$O150</f>
        <v>8.4</v>
      </c>
      <c r="S150" s="785">
        <f t="shared" si="94"/>
        <v>8.4</v>
      </c>
      <c r="T150" s="785">
        <f t="shared" si="94"/>
        <v>8.4</v>
      </c>
      <c r="U150" s="785">
        <f t="shared" si="94"/>
        <v>8.4</v>
      </c>
      <c r="V150" s="785">
        <f t="shared" si="94"/>
        <v>8.4</v>
      </c>
      <c r="W150" s="785">
        <f t="shared" si="94"/>
        <v>8.4</v>
      </c>
      <c r="X150" s="157"/>
    </row>
    <row r="151" spans="1:24" ht="13.5" thickBot="1">
      <c r="A151" s="191"/>
      <c r="B151" s="166"/>
      <c r="C151" s="170" t="s">
        <v>817</v>
      </c>
      <c r="D151" s="245" t="s">
        <v>915</v>
      </c>
      <c r="E151" s="245" t="s">
        <v>916</v>
      </c>
      <c r="F151" s="1152" t="s">
        <v>912</v>
      </c>
      <c r="G151" s="1153"/>
      <c r="H151" s="1153"/>
      <c r="I151" s="1153"/>
      <c r="J151" s="1153"/>
      <c r="K151" s="1154"/>
      <c r="M151" s="191"/>
      <c r="N151" s="166" t="s">
        <v>913</v>
      </c>
      <c r="O151" s="166"/>
      <c r="P151" s="236"/>
      <c r="Q151" s="237"/>
      <c r="R151" s="238">
        <f aca="true" t="shared" si="96" ref="R151:W151">SUM(R148:R150)</f>
        <v>21</v>
      </c>
      <c r="S151" s="239">
        <f t="shared" si="96"/>
        <v>21</v>
      </c>
      <c r="T151" s="240">
        <f t="shared" si="96"/>
        <v>21</v>
      </c>
      <c r="U151" s="240">
        <f t="shared" si="96"/>
        <v>21</v>
      </c>
      <c r="V151" s="239">
        <f t="shared" si="96"/>
        <v>21</v>
      </c>
      <c r="W151" s="239">
        <f t="shared" si="96"/>
        <v>21</v>
      </c>
      <c r="X151" s="157"/>
    </row>
    <row r="152" spans="1:24" ht="13.5" thickBot="1">
      <c r="A152" s="191"/>
      <c r="B152" s="162" t="s">
        <v>292</v>
      </c>
      <c r="C152" s="163">
        <v>95</v>
      </c>
      <c r="D152" s="164">
        <v>0.2</v>
      </c>
      <c r="E152" s="246">
        <f>1*D152</f>
        <v>0.2</v>
      </c>
      <c r="F152" s="794">
        <f aca="true" t="shared" si="97" ref="F152:K154">$E152*$C152</f>
        <v>19</v>
      </c>
      <c r="G152" s="794">
        <f t="shared" si="97"/>
        <v>19</v>
      </c>
      <c r="H152" s="730">
        <f t="shared" si="97"/>
        <v>19</v>
      </c>
      <c r="I152" s="794">
        <f t="shared" si="97"/>
        <v>19</v>
      </c>
      <c r="J152" s="794">
        <f t="shared" si="97"/>
        <v>19</v>
      </c>
      <c r="K152" s="794">
        <f t="shared" si="97"/>
        <v>19</v>
      </c>
      <c r="M152" s="191"/>
      <c r="N152" s="166"/>
      <c r="O152" s="170"/>
      <c r="P152" s="241"/>
      <c r="Q152" s="157"/>
      <c r="R152" s="242"/>
      <c r="S152" s="243"/>
      <c r="T152" s="157"/>
      <c r="U152" s="157"/>
      <c r="V152" s="244"/>
      <c r="W152" s="244"/>
      <c r="X152" s="157"/>
    </row>
    <row r="153" spans="1:24" ht="13.5" thickBot="1">
      <c r="A153" s="191"/>
      <c r="B153" s="162" t="s">
        <v>293</v>
      </c>
      <c r="C153" s="163">
        <v>2.5</v>
      </c>
      <c r="D153" s="164">
        <v>3.5</v>
      </c>
      <c r="E153" s="246">
        <f>1*D153</f>
        <v>3.5</v>
      </c>
      <c r="F153" s="247">
        <f t="shared" si="97"/>
        <v>8.75</v>
      </c>
      <c r="G153" s="247">
        <f t="shared" si="97"/>
        <v>8.75</v>
      </c>
      <c r="H153" s="736">
        <f t="shared" si="97"/>
        <v>8.75</v>
      </c>
      <c r="I153" s="247">
        <f t="shared" si="97"/>
        <v>8.75</v>
      </c>
      <c r="J153" s="247">
        <f t="shared" si="97"/>
        <v>8.75</v>
      </c>
      <c r="K153" s="247">
        <f t="shared" si="97"/>
        <v>8.75</v>
      </c>
      <c r="M153" s="191"/>
      <c r="N153" s="166"/>
      <c r="O153" s="166" t="s">
        <v>817</v>
      </c>
      <c r="P153" s="219" t="s">
        <v>915</v>
      </c>
      <c r="Q153" s="219" t="s">
        <v>916</v>
      </c>
      <c r="R153" s="1136" t="s">
        <v>912</v>
      </c>
      <c r="S153" s="1136"/>
      <c r="T153" s="1136"/>
      <c r="U153" s="1136"/>
      <c r="V153" s="1136"/>
      <c r="W153" s="1137"/>
      <c r="X153" s="157"/>
    </row>
    <row r="154" spans="1:24" ht="12.75">
      <c r="A154" s="191"/>
      <c r="B154" s="162" t="s">
        <v>821</v>
      </c>
      <c r="C154" s="163">
        <v>0.06</v>
      </c>
      <c r="D154" s="164">
        <v>21</v>
      </c>
      <c r="E154" s="246">
        <f>1*D154</f>
        <v>21</v>
      </c>
      <c r="F154" s="247">
        <f t="shared" si="97"/>
        <v>1.26</v>
      </c>
      <c r="G154" s="247">
        <f t="shared" si="97"/>
        <v>1.26</v>
      </c>
      <c r="H154" s="736">
        <f t="shared" si="97"/>
        <v>1.26</v>
      </c>
      <c r="I154" s="247">
        <f t="shared" si="97"/>
        <v>1.26</v>
      </c>
      <c r="J154" s="247">
        <f t="shared" si="97"/>
        <v>1.26</v>
      </c>
      <c r="K154" s="247">
        <f t="shared" si="97"/>
        <v>1.26</v>
      </c>
      <c r="M154" s="191"/>
      <c r="N154" s="162" t="s">
        <v>294</v>
      </c>
      <c r="O154" s="163">
        <v>3.5</v>
      </c>
      <c r="P154" s="164">
        <v>8</v>
      </c>
      <c r="Q154" s="246">
        <f>1*P154</f>
        <v>8</v>
      </c>
      <c r="R154" s="247">
        <f aca="true" t="shared" si="98" ref="R154:W157">$Q154*$O154</f>
        <v>28</v>
      </c>
      <c r="S154" s="247">
        <f t="shared" si="98"/>
        <v>28</v>
      </c>
      <c r="T154" s="247">
        <f t="shared" si="98"/>
        <v>28</v>
      </c>
      <c r="U154" s="247">
        <f t="shared" si="98"/>
        <v>28</v>
      </c>
      <c r="V154" s="247">
        <f t="shared" si="98"/>
        <v>28</v>
      </c>
      <c r="W154" s="247">
        <f t="shared" si="98"/>
        <v>28</v>
      </c>
      <c r="X154" s="157"/>
    </row>
    <row r="155" spans="1:24" ht="12.75">
      <c r="A155" s="191"/>
      <c r="B155" s="166" t="s">
        <v>823</v>
      </c>
      <c r="C155" s="166"/>
      <c r="D155" s="167"/>
      <c r="E155" s="681"/>
      <c r="F155" s="739">
        <f aca="true" t="shared" si="99" ref="F155:K155">SUM(F152:F154)</f>
        <v>29.01</v>
      </c>
      <c r="G155" s="280">
        <f t="shared" si="99"/>
        <v>29.01</v>
      </c>
      <c r="H155" s="738">
        <f t="shared" si="99"/>
        <v>29.01</v>
      </c>
      <c r="I155" s="739">
        <f t="shared" si="99"/>
        <v>29.01</v>
      </c>
      <c r="J155" s="280">
        <f t="shared" si="99"/>
        <v>29.01</v>
      </c>
      <c r="K155" s="280">
        <f t="shared" si="99"/>
        <v>29.01</v>
      </c>
      <c r="M155" s="191"/>
      <c r="N155" s="162" t="s">
        <v>820</v>
      </c>
      <c r="O155" s="163">
        <v>1.8</v>
      </c>
      <c r="P155" s="164">
        <v>6.28</v>
      </c>
      <c r="Q155" s="246">
        <f>1*P155</f>
        <v>6.28</v>
      </c>
      <c r="R155" s="247">
        <f t="shared" si="98"/>
        <v>11.304</v>
      </c>
      <c r="S155" s="247">
        <f t="shared" si="98"/>
        <v>11.304</v>
      </c>
      <c r="T155" s="247">
        <f t="shared" si="98"/>
        <v>11.304</v>
      </c>
      <c r="U155" s="247">
        <f t="shared" si="98"/>
        <v>11.304</v>
      </c>
      <c r="V155" s="247">
        <f t="shared" si="98"/>
        <v>11.304</v>
      </c>
      <c r="W155" s="247">
        <f t="shared" si="98"/>
        <v>11.304</v>
      </c>
      <c r="X155" s="157"/>
    </row>
    <row r="156" spans="1:24" ht="12.75">
      <c r="A156" s="191"/>
      <c r="B156" s="180"/>
      <c r="C156" s="180"/>
      <c r="D156" s="171"/>
      <c r="E156" s="157"/>
      <c r="F156" s="171"/>
      <c r="G156" s="244"/>
      <c r="H156" s="244"/>
      <c r="I156" s="157"/>
      <c r="J156" s="244"/>
      <c r="K156" s="244"/>
      <c r="M156" s="191"/>
      <c r="N156" s="162" t="s">
        <v>295</v>
      </c>
      <c r="O156" s="163">
        <v>3</v>
      </c>
      <c r="P156" s="164">
        <v>12</v>
      </c>
      <c r="Q156" s="246">
        <f>1*P156</f>
        <v>12</v>
      </c>
      <c r="R156" s="247">
        <f t="shared" si="98"/>
        <v>36</v>
      </c>
      <c r="S156" s="247">
        <f t="shared" si="98"/>
        <v>36</v>
      </c>
      <c r="T156" s="247">
        <f t="shared" si="98"/>
        <v>36</v>
      </c>
      <c r="U156" s="247">
        <f t="shared" si="98"/>
        <v>36</v>
      </c>
      <c r="V156" s="247">
        <f t="shared" si="98"/>
        <v>36</v>
      </c>
      <c r="W156" s="247">
        <f t="shared" si="98"/>
        <v>36</v>
      </c>
      <c r="X156" s="157"/>
    </row>
    <row r="157" spans="1:24" ht="12.75">
      <c r="A157" s="191"/>
      <c r="B157" s="166" t="s">
        <v>918</v>
      </c>
      <c r="C157" s="170"/>
      <c r="D157" s="180"/>
      <c r="E157" s="157"/>
      <c r="F157" s="250">
        <f aca="true" t="shared" si="100" ref="F157:K157">F149+F155</f>
        <v>50.010000000000005</v>
      </c>
      <c r="G157" s="282">
        <f t="shared" si="100"/>
        <v>50.010000000000005</v>
      </c>
      <c r="H157" s="821">
        <f t="shared" si="100"/>
        <v>50.010000000000005</v>
      </c>
      <c r="I157" s="250">
        <f t="shared" si="100"/>
        <v>50.010000000000005</v>
      </c>
      <c r="J157" s="282">
        <f t="shared" si="100"/>
        <v>50.010000000000005</v>
      </c>
      <c r="K157" s="282">
        <f t="shared" si="100"/>
        <v>50.010000000000005</v>
      </c>
      <c r="M157" s="191"/>
      <c r="N157" s="162" t="s">
        <v>821</v>
      </c>
      <c r="O157" s="163">
        <v>0.06</v>
      </c>
      <c r="P157" s="164">
        <v>21</v>
      </c>
      <c r="Q157" s="246">
        <f>1*P157</f>
        <v>21</v>
      </c>
      <c r="R157" s="247">
        <f t="shared" si="98"/>
        <v>1.26</v>
      </c>
      <c r="S157" s="247">
        <f t="shared" si="98"/>
        <v>1.26</v>
      </c>
      <c r="T157" s="247">
        <f t="shared" si="98"/>
        <v>1.26</v>
      </c>
      <c r="U157" s="247">
        <f t="shared" si="98"/>
        <v>1.26</v>
      </c>
      <c r="V157" s="247">
        <f t="shared" si="98"/>
        <v>1.26</v>
      </c>
      <c r="W157" s="247">
        <f t="shared" si="98"/>
        <v>1.26</v>
      </c>
      <c r="X157" s="157"/>
    </row>
    <row r="158" spans="1:24" ht="12.75">
      <c r="A158" s="191"/>
      <c r="B158" s="170"/>
      <c r="C158" s="170"/>
      <c r="D158" s="180"/>
      <c r="E158" s="157"/>
      <c r="F158" s="745"/>
      <c r="G158" s="746"/>
      <c r="H158" s="745"/>
      <c r="I158" s="745"/>
      <c r="J158" s="746"/>
      <c r="K158" s="746"/>
      <c r="M158" s="191"/>
      <c r="N158" s="166" t="s">
        <v>823</v>
      </c>
      <c r="O158" s="166"/>
      <c r="P158" s="167"/>
      <c r="Q158" s="681"/>
      <c r="R158" s="167">
        <f aca="true" t="shared" si="101" ref="R158:W158">SUM(R154:R157)</f>
        <v>76.56400000000001</v>
      </c>
      <c r="S158" s="279">
        <f t="shared" si="101"/>
        <v>76.56400000000001</v>
      </c>
      <c r="T158" s="167">
        <f t="shared" si="101"/>
        <v>76.56400000000001</v>
      </c>
      <c r="U158" s="167">
        <f t="shared" si="101"/>
        <v>76.56400000000001</v>
      </c>
      <c r="V158" s="279">
        <f t="shared" si="101"/>
        <v>76.56400000000001</v>
      </c>
      <c r="W158" s="279">
        <f t="shared" si="101"/>
        <v>76.56400000000001</v>
      </c>
      <c r="X158" s="157"/>
    </row>
    <row r="159" spans="1:24" ht="13.5" thickBot="1">
      <c r="A159" s="191"/>
      <c r="B159" s="180"/>
      <c r="C159" s="180"/>
      <c r="D159" s="171"/>
      <c r="E159" s="251"/>
      <c r="F159" s="171"/>
      <c r="G159" s="244"/>
      <c r="H159" s="157"/>
      <c r="I159" s="157"/>
      <c r="J159" s="244"/>
      <c r="K159" s="244"/>
      <c r="M159" s="191"/>
      <c r="N159" s="180"/>
      <c r="O159" s="180"/>
      <c r="P159" s="171"/>
      <c r="Q159" s="157"/>
      <c r="R159" s="171"/>
      <c r="S159" s="244"/>
      <c r="T159" s="157"/>
      <c r="U159" s="157"/>
      <c r="V159" s="244"/>
      <c r="W159" s="244"/>
      <c r="X159" s="157"/>
    </row>
    <row r="160" spans="1:24" ht="13.5" thickBot="1">
      <c r="A160" s="191"/>
      <c r="B160" s="166" t="s">
        <v>824</v>
      </c>
      <c r="C160" s="170"/>
      <c r="D160" s="250" t="s">
        <v>825</v>
      </c>
      <c r="E160" s="251"/>
      <c r="F160" s="1152" t="s">
        <v>912</v>
      </c>
      <c r="G160" s="1153"/>
      <c r="H160" s="1153"/>
      <c r="I160" s="1153"/>
      <c r="J160" s="1153"/>
      <c r="K160" s="1154"/>
      <c r="M160" s="191"/>
      <c r="N160" s="166" t="s">
        <v>918</v>
      </c>
      <c r="O160" s="166"/>
      <c r="P160" s="162"/>
      <c r="Q160" s="681"/>
      <c r="R160" s="739">
        <f aca="true" t="shared" si="102" ref="R160:W160">R151+R158</f>
        <v>97.56400000000001</v>
      </c>
      <c r="S160" s="280">
        <f t="shared" si="102"/>
        <v>97.56400000000001</v>
      </c>
      <c r="T160" s="739">
        <f t="shared" si="102"/>
        <v>97.56400000000001</v>
      </c>
      <c r="U160" s="739">
        <f t="shared" si="102"/>
        <v>97.56400000000001</v>
      </c>
      <c r="V160" s="280">
        <f t="shared" si="102"/>
        <v>97.56400000000001</v>
      </c>
      <c r="W160" s="280">
        <f t="shared" si="102"/>
        <v>97.56400000000001</v>
      </c>
      <c r="X160" s="157"/>
    </row>
    <row r="161" spans="1:24" ht="13.5" thickBot="1">
      <c r="A161" s="191"/>
      <c r="B161" s="162" t="s">
        <v>826</v>
      </c>
      <c r="C161" s="181">
        <v>0.1</v>
      </c>
      <c r="D161" s="165">
        <f>C161*D141*H138</f>
        <v>7.225</v>
      </c>
      <c r="E161" s="306">
        <f>1*D161</f>
        <v>7.225</v>
      </c>
      <c r="F161" s="832">
        <f aca="true" t="shared" si="103" ref="F161:K161">$E161*F140/1000</f>
        <v>10.115</v>
      </c>
      <c r="G161" s="832">
        <f t="shared" si="103"/>
        <v>10.8375</v>
      </c>
      <c r="H161" s="833">
        <f t="shared" si="103"/>
        <v>11.92125</v>
      </c>
      <c r="I161" s="832">
        <f t="shared" si="103"/>
        <v>13.005</v>
      </c>
      <c r="J161" s="832">
        <f t="shared" si="103"/>
        <v>18.0625</v>
      </c>
      <c r="K161" s="832">
        <f t="shared" si="103"/>
        <v>12.70155</v>
      </c>
      <c r="M161" s="191"/>
      <c r="N161" s="170"/>
      <c r="O161" s="170"/>
      <c r="P161" s="180"/>
      <c r="Q161" s="157"/>
      <c r="R161" s="745"/>
      <c r="S161" s="746"/>
      <c r="T161" s="745"/>
      <c r="U161" s="745"/>
      <c r="V161" s="746"/>
      <c r="W161" s="746"/>
      <c r="X161" s="157"/>
    </row>
    <row r="162" spans="1:24" ht="13.5" thickBot="1">
      <c r="A162" s="191"/>
      <c r="B162" s="162" t="s">
        <v>827</v>
      </c>
      <c r="C162" s="181">
        <v>15</v>
      </c>
      <c r="D162" s="155">
        <f>1*C162</f>
        <v>15</v>
      </c>
      <c r="E162" s="155">
        <f>1*D162</f>
        <v>15</v>
      </c>
      <c r="F162" s="167">
        <f aca="true" t="shared" si="104" ref="F162:K162">$E162*F140/1000</f>
        <v>21</v>
      </c>
      <c r="G162" s="167">
        <f t="shared" si="104"/>
        <v>22.5</v>
      </c>
      <c r="H162" s="795">
        <f t="shared" si="104"/>
        <v>24.75</v>
      </c>
      <c r="I162" s="167">
        <f t="shared" si="104"/>
        <v>27</v>
      </c>
      <c r="J162" s="167">
        <f t="shared" si="104"/>
        <v>37.5</v>
      </c>
      <c r="K162" s="167">
        <f t="shared" si="104"/>
        <v>26.37</v>
      </c>
      <c r="M162" s="191"/>
      <c r="N162" s="166" t="s">
        <v>824</v>
      </c>
      <c r="O162" s="170"/>
      <c r="P162" s="250" t="s">
        <v>825</v>
      </c>
      <c r="Q162" s="251"/>
      <c r="R162" s="1135" t="s">
        <v>912</v>
      </c>
      <c r="S162" s="1136"/>
      <c r="T162" s="1136"/>
      <c r="U162" s="1136"/>
      <c r="V162" s="1136"/>
      <c r="W162" s="1137"/>
      <c r="X162" s="157"/>
    </row>
    <row r="163" spans="1:24" ht="12.75">
      <c r="A163" s="191"/>
      <c r="B163" s="174" t="s">
        <v>828</v>
      </c>
      <c r="C163" s="246">
        <v>0.01</v>
      </c>
      <c r="D163" s="306">
        <f>C163*D141*H138</f>
        <v>0.7224999999999999</v>
      </c>
      <c r="E163" s="306">
        <f>1*D163</f>
        <v>0.7224999999999999</v>
      </c>
      <c r="F163" s="167">
        <f aca="true" t="shared" si="105" ref="F163:K163">$E163*F140/1000</f>
        <v>1.0114999999999998</v>
      </c>
      <c r="G163" s="167">
        <f t="shared" si="105"/>
        <v>1.0837499999999998</v>
      </c>
      <c r="H163" s="795">
        <f t="shared" si="105"/>
        <v>1.1921249999999999</v>
      </c>
      <c r="I163" s="167">
        <f t="shared" si="105"/>
        <v>1.3004999999999998</v>
      </c>
      <c r="J163" s="167">
        <f t="shared" si="105"/>
        <v>1.8062499999999997</v>
      </c>
      <c r="K163" s="167">
        <f t="shared" si="105"/>
        <v>1.270155</v>
      </c>
      <c r="M163" s="191"/>
      <c r="N163" s="162" t="s">
        <v>826</v>
      </c>
      <c r="O163" s="252">
        <v>0.1</v>
      </c>
      <c r="P163" s="165">
        <f>O163*P143*$T$140</f>
        <v>10.8</v>
      </c>
      <c r="Q163" s="306">
        <f>1*P163</f>
        <v>10.8</v>
      </c>
      <c r="R163" s="167">
        <f aca="true" t="shared" si="106" ref="R163:W163">$Q163*R142/1000</f>
        <v>10.8</v>
      </c>
      <c r="S163" s="167">
        <f t="shared" si="106"/>
        <v>12.96</v>
      </c>
      <c r="T163" s="167">
        <f t="shared" si="106"/>
        <v>16.200000000000003</v>
      </c>
      <c r="U163" s="167">
        <f t="shared" si="106"/>
        <v>19.44</v>
      </c>
      <c r="V163" s="167">
        <f t="shared" si="106"/>
        <v>22.68</v>
      </c>
      <c r="W163" s="167">
        <f t="shared" si="106"/>
        <v>14.9472</v>
      </c>
      <c r="X163" s="157"/>
    </row>
    <row r="164" spans="1:24" ht="12.75">
      <c r="A164" s="191"/>
      <c r="B164" s="174" t="s">
        <v>520</v>
      </c>
      <c r="C164" s="175">
        <v>0.00121</v>
      </c>
      <c r="D164" s="306">
        <f>C164*D141*H138</f>
        <v>0.0874225</v>
      </c>
      <c r="E164" s="306">
        <f>1*D164</f>
        <v>0.0874225</v>
      </c>
      <c r="F164" s="167">
        <f aca="true" t="shared" si="107" ref="F164:K164">$E164*F140/1000</f>
        <v>0.1223915</v>
      </c>
      <c r="G164" s="167">
        <f t="shared" si="107"/>
        <v>0.13113375</v>
      </c>
      <c r="H164" s="795">
        <f t="shared" si="107"/>
        <v>0.144247125</v>
      </c>
      <c r="I164" s="167">
        <f t="shared" si="107"/>
        <v>0.15736050000000001</v>
      </c>
      <c r="J164" s="167">
        <f t="shared" si="107"/>
        <v>0.21855625</v>
      </c>
      <c r="K164" s="167">
        <f t="shared" si="107"/>
        <v>0.15368875499999998</v>
      </c>
      <c r="M164" s="191"/>
      <c r="N164" s="162" t="s">
        <v>827</v>
      </c>
      <c r="O164" s="252">
        <v>15</v>
      </c>
      <c r="P164" s="155">
        <f>1*O164</f>
        <v>15</v>
      </c>
      <c r="Q164" s="155">
        <f>1*P164</f>
        <v>15</v>
      </c>
      <c r="R164" s="167">
        <f aca="true" t="shared" si="108" ref="R164:W164">$Q164*R142/1000</f>
        <v>15</v>
      </c>
      <c r="S164" s="167">
        <f t="shared" si="108"/>
        <v>18</v>
      </c>
      <c r="T164" s="167">
        <f t="shared" si="108"/>
        <v>22.5</v>
      </c>
      <c r="U164" s="167">
        <f t="shared" si="108"/>
        <v>27</v>
      </c>
      <c r="V164" s="167">
        <f t="shared" si="108"/>
        <v>31.5</v>
      </c>
      <c r="W164" s="167">
        <f t="shared" si="108"/>
        <v>20.76</v>
      </c>
      <c r="X164" s="157"/>
    </row>
    <row r="165" spans="1:24" ht="12.75">
      <c r="A165" s="191"/>
      <c r="B165" s="166" t="s">
        <v>829</v>
      </c>
      <c r="C165" s="176"/>
      <c r="D165" s="739">
        <f aca="true" t="shared" si="109" ref="D165:K165">SUM(D161:D164)</f>
        <v>23.0349225</v>
      </c>
      <c r="E165" s="739">
        <f t="shared" si="109"/>
        <v>23.0349225</v>
      </c>
      <c r="F165" s="739">
        <f t="shared" si="109"/>
        <v>32.2488915</v>
      </c>
      <c r="G165" s="280">
        <f t="shared" si="109"/>
        <v>34.55238375</v>
      </c>
      <c r="H165" s="738">
        <f t="shared" si="109"/>
        <v>38.007622125</v>
      </c>
      <c r="I165" s="739">
        <f t="shared" si="109"/>
        <v>41.462860500000005</v>
      </c>
      <c r="J165" s="280">
        <f t="shared" si="109"/>
        <v>57.58730625</v>
      </c>
      <c r="K165" s="280">
        <f t="shared" si="109"/>
        <v>40.495393755</v>
      </c>
      <c r="M165" s="191"/>
      <c r="N165" s="174" t="s">
        <v>828</v>
      </c>
      <c r="O165" s="253">
        <v>0.01</v>
      </c>
      <c r="P165" s="306">
        <f>O165*P143*T140</f>
        <v>1.08</v>
      </c>
      <c r="Q165" s="306">
        <f>1*P165</f>
        <v>1.08</v>
      </c>
      <c r="R165" s="167">
        <f aca="true" t="shared" si="110" ref="R165:W165">$Q165*R142/1000</f>
        <v>1.08</v>
      </c>
      <c r="S165" s="167">
        <f t="shared" si="110"/>
        <v>1.296</v>
      </c>
      <c r="T165" s="167">
        <f t="shared" si="110"/>
        <v>1.62</v>
      </c>
      <c r="U165" s="167">
        <f t="shared" si="110"/>
        <v>1.9440000000000002</v>
      </c>
      <c r="V165" s="167">
        <f t="shared" si="110"/>
        <v>2.268</v>
      </c>
      <c r="W165" s="167">
        <f t="shared" si="110"/>
        <v>1.49472</v>
      </c>
      <c r="X165" s="157"/>
    </row>
    <row r="166" spans="1:24" ht="12.75">
      <c r="A166" s="191"/>
      <c r="B166" s="180"/>
      <c r="C166" s="157"/>
      <c r="D166" s="756"/>
      <c r="E166" s="157"/>
      <c r="F166" s="171"/>
      <c r="G166" s="244"/>
      <c r="H166" s="244"/>
      <c r="I166" s="157"/>
      <c r="J166" s="244"/>
      <c r="K166" s="244"/>
      <c r="M166" s="191"/>
      <c r="N166" s="174" t="s">
        <v>520</v>
      </c>
      <c r="O166" s="253">
        <v>0.00121</v>
      </c>
      <c r="P166" s="306">
        <f>O166*P143*T140</f>
        <v>0.13068</v>
      </c>
      <c r="Q166" s="306">
        <f>1*P166</f>
        <v>0.13068</v>
      </c>
      <c r="R166" s="167">
        <f aca="true" t="shared" si="111" ref="R166:W166">$Q166*R142/1000</f>
        <v>0.13068</v>
      </c>
      <c r="S166" s="167">
        <f t="shared" si="111"/>
        <v>0.156816</v>
      </c>
      <c r="T166" s="167">
        <f t="shared" si="111"/>
        <v>0.19601999999999997</v>
      </c>
      <c r="U166" s="167">
        <f t="shared" si="111"/>
        <v>0.235224</v>
      </c>
      <c r="V166" s="167">
        <f t="shared" si="111"/>
        <v>0.274428</v>
      </c>
      <c r="W166" s="167">
        <f t="shared" si="111"/>
        <v>0.18086112</v>
      </c>
      <c r="X166" s="157"/>
    </row>
    <row r="167" spans="1:24" ht="15">
      <c r="A167" s="191"/>
      <c r="B167" s="757" t="s">
        <v>921</v>
      </c>
      <c r="C167" s="758"/>
      <c r="D167" s="759"/>
      <c r="E167" s="157"/>
      <c r="F167" s="828">
        <f aca="true" t="shared" si="112" ref="F167:K167">F149+F155+F165</f>
        <v>82.2588915</v>
      </c>
      <c r="G167" s="827">
        <f t="shared" si="112"/>
        <v>84.56238375000001</v>
      </c>
      <c r="H167" s="826">
        <f t="shared" si="112"/>
        <v>88.017622125</v>
      </c>
      <c r="I167" s="828">
        <f t="shared" si="112"/>
        <v>91.47286050000001</v>
      </c>
      <c r="J167" s="827">
        <f t="shared" si="112"/>
        <v>107.59730625</v>
      </c>
      <c r="K167" s="827">
        <f t="shared" si="112"/>
        <v>90.505393755</v>
      </c>
      <c r="M167" s="191"/>
      <c r="N167" s="166" t="s">
        <v>829</v>
      </c>
      <c r="O167" s="176"/>
      <c r="P167" s="739">
        <f aca="true" t="shared" si="113" ref="P167:W167">SUM(P163:P166)</f>
        <v>27.010680000000004</v>
      </c>
      <c r="Q167" s="739">
        <f t="shared" si="113"/>
        <v>27.010680000000004</v>
      </c>
      <c r="R167" s="739">
        <f t="shared" si="113"/>
        <v>27.010680000000004</v>
      </c>
      <c r="S167" s="280">
        <f t="shared" si="113"/>
        <v>32.412816</v>
      </c>
      <c r="T167" s="739">
        <f t="shared" si="113"/>
        <v>40.51602</v>
      </c>
      <c r="U167" s="739">
        <f t="shared" si="113"/>
        <v>48.619224</v>
      </c>
      <c r="V167" s="280">
        <f t="shared" si="113"/>
        <v>56.722428</v>
      </c>
      <c r="W167" s="280">
        <f t="shared" si="113"/>
        <v>37.382781120000004</v>
      </c>
      <c r="X167" s="157"/>
    </row>
    <row r="168" spans="1:24" ht="15.75" thickBot="1">
      <c r="A168" s="191"/>
      <c r="B168" s="206" t="s">
        <v>922</v>
      </c>
      <c r="C168" s="255"/>
      <c r="D168" s="256"/>
      <c r="E168" s="157"/>
      <c r="F168" s="250">
        <f aca="true" t="shared" si="114" ref="F168:K168">F142-F167</f>
        <v>18.8911085</v>
      </c>
      <c r="G168" s="282">
        <f t="shared" si="114"/>
        <v>23.81261624999999</v>
      </c>
      <c r="H168" s="821">
        <f t="shared" si="114"/>
        <v>31.194877875000003</v>
      </c>
      <c r="I168" s="250">
        <f t="shared" si="114"/>
        <v>38.5771395</v>
      </c>
      <c r="J168" s="250">
        <f t="shared" si="114"/>
        <v>73.02769375</v>
      </c>
      <c r="K168" s="250">
        <f t="shared" si="114"/>
        <v>36.510106245</v>
      </c>
      <c r="M168" s="191"/>
      <c r="N168" s="180"/>
      <c r="O168" s="157"/>
      <c r="P168" s="756"/>
      <c r="Q168" s="157"/>
      <c r="R168" s="171"/>
      <c r="S168" s="244"/>
      <c r="T168" s="157"/>
      <c r="U168" s="157"/>
      <c r="V168" s="244"/>
      <c r="W168" s="244"/>
      <c r="X168" s="157"/>
    </row>
    <row r="169" spans="1:24" ht="15.75" thickBot="1">
      <c r="A169" s="191"/>
      <c r="B169" s="201" t="s">
        <v>923</v>
      </c>
      <c r="C169" s="258"/>
      <c r="D169" s="771">
        <f>(F157)/(D141*H138-D165)*1000</f>
        <v>1016.1520115456489</v>
      </c>
      <c r="H169" s="65"/>
      <c r="M169" s="191"/>
      <c r="N169" s="609" t="s">
        <v>921</v>
      </c>
      <c r="O169" s="610"/>
      <c r="P169" s="611"/>
      <c r="Q169" s="605"/>
      <c r="R169" s="834">
        <f aca="true" t="shared" si="115" ref="R169:W169">R151+R158+R167</f>
        <v>124.57468000000001</v>
      </c>
      <c r="S169" s="835">
        <f t="shared" si="115"/>
        <v>129.976816</v>
      </c>
      <c r="T169" s="834">
        <f t="shared" si="115"/>
        <v>138.08002</v>
      </c>
      <c r="U169" s="834">
        <f t="shared" si="115"/>
        <v>146.183224</v>
      </c>
      <c r="V169" s="835">
        <f t="shared" si="115"/>
        <v>154.286428</v>
      </c>
      <c r="W169" s="836">
        <f t="shared" si="115"/>
        <v>134.94678112000003</v>
      </c>
      <c r="X169" s="157"/>
    </row>
    <row r="170" spans="1:24" ht="15.75" thickBot="1">
      <c r="A170" s="191"/>
      <c r="B170" s="260" t="s">
        <v>924</v>
      </c>
      <c r="C170" s="261"/>
      <c r="D170" s="261"/>
      <c r="E170" s="261"/>
      <c r="F170" s="263">
        <f aca="true" t="shared" si="116" ref="F170:K170">(F157+$D$162*F140/1000)/((F140/1000-F140/1000*($C$161+$C$163+$C$164)))/$H$138</f>
        <v>67.13877170936108</v>
      </c>
      <c r="G170" s="263">
        <f t="shared" si="116"/>
        <v>63.986530266198</v>
      </c>
      <c r="H170" s="263">
        <f t="shared" si="116"/>
        <v>59.974586611263184</v>
      </c>
      <c r="I170" s="263">
        <f t="shared" si="116"/>
        <v>56.63130023215083</v>
      </c>
      <c r="J170" s="263">
        <f t="shared" si="116"/>
        <v>46.33397818448479</v>
      </c>
      <c r="K170" s="263">
        <f t="shared" si="116"/>
        <v>57.50991132836807</v>
      </c>
      <c r="M170" s="191"/>
      <c r="N170" s="837" t="s">
        <v>922</v>
      </c>
      <c r="O170" s="202"/>
      <c r="P170" s="838"/>
      <c r="Q170" s="605"/>
      <c r="R170" s="839">
        <f aca="true" t="shared" si="117" ref="R170:W170">R144-R169</f>
        <v>-16.574680000000015</v>
      </c>
      <c r="S170" s="840">
        <f t="shared" si="117"/>
        <v>-0.37681600000001936</v>
      </c>
      <c r="T170" s="839">
        <f t="shared" si="117"/>
        <v>23.91998000000001</v>
      </c>
      <c r="U170" s="839">
        <f t="shared" si="117"/>
        <v>48.21677600000001</v>
      </c>
      <c r="V170" s="839">
        <f t="shared" si="117"/>
        <v>72.51357200000001</v>
      </c>
      <c r="W170" s="841">
        <f t="shared" si="117"/>
        <v>14.525218879999983</v>
      </c>
      <c r="X170" s="157"/>
    </row>
    <row r="171" spans="13:24" ht="13.5" thickBot="1">
      <c r="M171" s="191"/>
      <c r="N171" s="176" t="s">
        <v>923</v>
      </c>
      <c r="O171" s="814"/>
      <c r="P171" s="815">
        <f>(R160)/(P143*T140-P167)*1000</f>
        <v>1204.6526628449283</v>
      </c>
      <c r="X171" s="157"/>
    </row>
    <row r="172" spans="2:23" ht="13.5" thickBot="1">
      <c r="B172" s="776" t="s">
        <v>521</v>
      </c>
      <c r="M172" s="191"/>
      <c r="N172" s="260" t="s">
        <v>924</v>
      </c>
      <c r="O172" s="261"/>
      <c r="P172" s="261"/>
      <c r="Q172" s="261"/>
      <c r="R172" s="263">
        <f aca="true" t="shared" si="118" ref="R172:W172">(R160+$P$164*R142/1000)/(R142/1000-R142/1000*($O$163+$O$165+$O$166))/$T$140</f>
        <v>158.310737069499</v>
      </c>
      <c r="S172" s="263">
        <f t="shared" si="118"/>
        <v>135.44163038137992</v>
      </c>
      <c r="T172" s="263">
        <f t="shared" si="118"/>
        <v>112.57252369326086</v>
      </c>
      <c r="U172" s="263">
        <f t="shared" si="118"/>
        <v>97.32645256784816</v>
      </c>
      <c r="V172" s="263">
        <f t="shared" si="118"/>
        <v>86.43640176398196</v>
      </c>
      <c r="W172" s="263">
        <f t="shared" si="118"/>
        <v>120.23962304534706</v>
      </c>
    </row>
    <row r="173" ht="12.75">
      <c r="M173" s="191"/>
    </row>
    <row r="174" spans="1:14" ht="12.75">
      <c r="A174" s="191"/>
      <c r="N174" s="776" t="s">
        <v>521</v>
      </c>
    </row>
    <row r="175" ht="12.75">
      <c r="A175" s="191"/>
    </row>
    <row r="176" ht="12.75">
      <c r="A176" s="191"/>
    </row>
    <row r="177" spans="1:22" ht="12.75">
      <c r="A177" s="191"/>
      <c r="M177" s="191"/>
      <c r="N177" s="842"/>
      <c r="O177" s="842"/>
      <c r="P177" s="842"/>
      <c r="Q177" s="842"/>
      <c r="R177" s="843"/>
      <c r="S177" s="843"/>
      <c r="T177" s="843"/>
      <c r="U177" s="843"/>
      <c r="V177" s="843"/>
    </row>
    <row r="178" spans="1:23" ht="15.75">
      <c r="A178" s="1131" t="s">
        <v>514</v>
      </c>
      <c r="B178" s="1131"/>
      <c r="C178" s="1131"/>
      <c r="D178" s="1131"/>
      <c r="E178" s="1131"/>
      <c r="F178" s="1131"/>
      <c r="G178" s="1131"/>
      <c r="H178" s="1131"/>
      <c r="I178" s="1131"/>
      <c r="J178" s="1131"/>
      <c r="K178" s="1131"/>
      <c r="L178" s="779"/>
      <c r="M178" s="1158" t="s">
        <v>522</v>
      </c>
      <c r="N178" s="1158"/>
      <c r="O178" s="1158"/>
      <c r="P178" s="1158"/>
      <c r="Q178" s="1158"/>
      <c r="R178" s="1158"/>
      <c r="S178" s="1158"/>
      <c r="T178" s="1158"/>
      <c r="U178" s="1158"/>
      <c r="V178" s="1158"/>
      <c r="W178" s="1158"/>
    </row>
    <row r="179" spans="1:15" ht="15.75">
      <c r="A179" s="191"/>
      <c r="B179" s="57" t="s">
        <v>898</v>
      </c>
      <c r="C179" s="844" t="s">
        <v>329</v>
      </c>
      <c r="D179" s="845"/>
      <c r="E179" s="845"/>
      <c r="F179" s="845"/>
      <c r="G179" s="845"/>
      <c r="H179" s="845"/>
      <c r="I179" s="845"/>
      <c r="J179" s="845"/>
      <c r="K179" s="845"/>
      <c r="M179" s="191"/>
      <c r="N179" s="57" t="s">
        <v>833</v>
      </c>
      <c r="O179" s="158" t="s">
        <v>515</v>
      </c>
    </row>
    <row r="180" spans="1:20" ht="16.5" thickBot="1">
      <c r="A180" s="191"/>
      <c r="B180" s="57" t="s">
        <v>899</v>
      </c>
      <c r="C180" s="846"/>
      <c r="D180" s="845"/>
      <c r="E180" s="845"/>
      <c r="F180" t="s">
        <v>518</v>
      </c>
      <c r="G180" s="847">
        <v>0.85</v>
      </c>
      <c r="H180" s="845"/>
      <c r="I180" s="845"/>
      <c r="J180" s="845"/>
      <c r="K180" s="845"/>
      <c r="M180" s="191"/>
      <c r="N180" s="57" t="s">
        <v>899</v>
      </c>
      <c r="O180" s="158">
        <v>80</v>
      </c>
      <c r="S180" s="848" t="s">
        <v>328</v>
      </c>
      <c r="T180" s="20">
        <v>1</v>
      </c>
    </row>
    <row r="181" spans="1:23" ht="12" customHeight="1" thickBot="1">
      <c r="A181" s="191"/>
      <c r="B181" s="849" t="s">
        <v>296</v>
      </c>
      <c r="C181" s="850" t="s">
        <v>297</v>
      </c>
      <c r="D181" s="851" t="s">
        <v>817</v>
      </c>
      <c r="E181" s="852"/>
      <c r="F181" s="1159" t="s">
        <v>298</v>
      </c>
      <c r="G181" s="1160"/>
      <c r="H181" s="1160"/>
      <c r="I181" s="1160"/>
      <c r="J181" s="1161"/>
      <c r="K181" s="712" t="s">
        <v>904</v>
      </c>
      <c r="M181" s="191"/>
      <c r="N181" s="853" t="s">
        <v>901</v>
      </c>
      <c r="O181" s="854" t="s">
        <v>902</v>
      </c>
      <c r="R181" s="855" t="s">
        <v>332</v>
      </c>
      <c r="S181" s="856"/>
      <c r="T181" s="856"/>
      <c r="U181" s="856"/>
      <c r="V181" s="857"/>
      <c r="W181" s="159" t="s">
        <v>904</v>
      </c>
    </row>
    <row r="182" spans="1:23" ht="12" customHeight="1" thickBot="1">
      <c r="A182" s="191"/>
      <c r="B182" s="858"/>
      <c r="C182" s="859" t="s">
        <v>905</v>
      </c>
      <c r="D182" s="860"/>
      <c r="E182" s="861"/>
      <c r="F182" s="862">
        <v>1300</v>
      </c>
      <c r="G182" s="863">
        <v>1500</v>
      </c>
      <c r="H182" s="864">
        <v>1750</v>
      </c>
      <c r="I182" s="864">
        <v>2000</v>
      </c>
      <c r="J182" s="864">
        <v>2300</v>
      </c>
      <c r="K182" s="159">
        <v>1800</v>
      </c>
      <c r="M182" s="191"/>
      <c r="N182" s="713"/>
      <c r="O182" s="206" t="s">
        <v>905</v>
      </c>
      <c r="R182" s="865">
        <v>800</v>
      </c>
      <c r="S182" s="865">
        <v>1000</v>
      </c>
      <c r="T182" s="865">
        <v>1200</v>
      </c>
      <c r="U182" s="865">
        <v>1400</v>
      </c>
      <c r="V182" s="865">
        <v>1600</v>
      </c>
      <c r="W182" s="159">
        <v>1350</v>
      </c>
    </row>
    <row r="183" spans="1:22" ht="12" customHeight="1">
      <c r="A183" s="191"/>
      <c r="B183" s="866" t="s">
        <v>299</v>
      </c>
      <c r="C183" s="867"/>
      <c r="D183" s="221"/>
      <c r="E183" s="868"/>
      <c r="F183" s="868"/>
      <c r="G183" s="868"/>
      <c r="H183" s="868"/>
      <c r="I183" s="868"/>
      <c r="J183" s="868"/>
      <c r="K183" s="868"/>
      <c r="M183" s="191"/>
      <c r="N183" s="180" t="s">
        <v>333</v>
      </c>
      <c r="O183" s="869">
        <v>140</v>
      </c>
      <c r="P183" s="870"/>
      <c r="R183" s="870"/>
      <c r="S183" s="870"/>
      <c r="T183" s="870"/>
      <c r="U183" s="870"/>
      <c r="V183" s="871"/>
    </row>
    <row r="184" spans="1:23" ht="12" customHeight="1" thickBot="1">
      <c r="A184" s="191"/>
      <c r="B184" s="872" t="s">
        <v>330</v>
      </c>
      <c r="C184" s="873">
        <v>230</v>
      </c>
      <c r="D184" s="221"/>
      <c r="E184" s="356"/>
      <c r="F184" s="65"/>
      <c r="G184" s="65"/>
      <c r="I184" s="157"/>
      <c r="M184" s="191"/>
      <c r="N184" s="874"/>
      <c r="O184" s="869"/>
      <c r="P184" s="171"/>
      <c r="R184" s="875">
        <f aca="true" t="shared" si="119" ref="R184:W184">$O183*R182/1000</f>
        <v>112</v>
      </c>
      <c r="S184" s="875">
        <f t="shared" si="119"/>
        <v>140</v>
      </c>
      <c r="T184" s="875">
        <f t="shared" si="119"/>
        <v>168</v>
      </c>
      <c r="U184" s="875">
        <f t="shared" si="119"/>
        <v>196</v>
      </c>
      <c r="V184" s="875">
        <f t="shared" si="119"/>
        <v>224</v>
      </c>
      <c r="W184" s="875">
        <f t="shared" si="119"/>
        <v>189</v>
      </c>
    </row>
    <row r="185" spans="1:21" ht="12" customHeight="1" thickBot="1">
      <c r="A185" s="191"/>
      <c r="B185" s="876" t="s">
        <v>300</v>
      </c>
      <c r="C185" s="877"/>
      <c r="D185" s="221" t="s">
        <v>301</v>
      </c>
      <c r="E185" s="878"/>
      <c r="F185" s="878">
        <f aca="true" t="shared" si="120" ref="F185:K185">$C184*F182*$G180/1000</f>
        <v>254.15</v>
      </c>
      <c r="G185" s="878">
        <f t="shared" si="120"/>
        <v>293.25</v>
      </c>
      <c r="H185" s="878">
        <f t="shared" si="120"/>
        <v>342.125</v>
      </c>
      <c r="I185" s="878">
        <f t="shared" si="120"/>
        <v>391</v>
      </c>
      <c r="J185" s="878">
        <f t="shared" si="120"/>
        <v>449.65</v>
      </c>
      <c r="K185" s="878">
        <f t="shared" si="120"/>
        <v>351.9</v>
      </c>
      <c r="M185" s="191"/>
      <c r="N185" s="874" t="s">
        <v>908</v>
      </c>
      <c r="O185" s="220"/>
      <c r="P185" s="221"/>
      <c r="Q185" s="218"/>
      <c r="R185" s="218"/>
      <c r="S185" s="218"/>
      <c r="T185" s="218"/>
      <c r="U185" s="218"/>
    </row>
    <row r="186" spans="1:21" ht="12" customHeight="1" thickBot="1">
      <c r="A186" s="191"/>
      <c r="B186" s="879" t="s">
        <v>302</v>
      </c>
      <c r="C186" s="220"/>
      <c r="D186" s="221"/>
      <c r="E186" s="220"/>
      <c r="F186" s="220"/>
      <c r="G186" s="220"/>
      <c r="H186" s="220"/>
      <c r="I186" s="220"/>
      <c r="J186" s="220"/>
      <c r="K186" s="220"/>
      <c r="M186" s="191"/>
      <c r="N186" s="880" t="s">
        <v>909</v>
      </c>
      <c r="O186" s="869">
        <v>14</v>
      </c>
      <c r="P186" s="221"/>
      <c r="Q186" s="881"/>
      <c r="R186" s="881"/>
      <c r="S186" s="881"/>
      <c r="T186" s="881"/>
      <c r="U186" s="881"/>
    </row>
    <row r="187" spans="1:23" ht="12" customHeight="1" thickBot="1">
      <c r="A187" s="191"/>
      <c r="B187" s="882" t="s">
        <v>909</v>
      </c>
      <c r="C187" s="883">
        <v>18</v>
      </c>
      <c r="D187" s="221"/>
      <c r="E187" s="884"/>
      <c r="F187" s="884"/>
      <c r="G187" s="884"/>
      <c r="H187" s="884"/>
      <c r="I187" s="884"/>
      <c r="J187" s="884"/>
      <c r="K187" s="884"/>
      <c r="M187" s="161" t="s">
        <v>512</v>
      </c>
      <c r="N187" s="885"/>
      <c r="O187" s="886" t="s">
        <v>974</v>
      </c>
      <c r="P187" s="219" t="s">
        <v>910</v>
      </c>
      <c r="Q187" s="727" t="s">
        <v>911</v>
      </c>
      <c r="R187" s="1135" t="s">
        <v>912</v>
      </c>
      <c r="S187" s="1136"/>
      <c r="T187" s="1136"/>
      <c r="U187" s="1136"/>
      <c r="V187" s="1136"/>
      <c r="W187" s="1137"/>
    </row>
    <row r="188" spans="1:23" ht="12" customHeight="1" thickBot="1">
      <c r="A188" s="191"/>
      <c r="B188" s="887"/>
      <c r="C188" s="888"/>
      <c r="D188" s="221"/>
      <c r="E188" s="884"/>
      <c r="F188" s="884"/>
      <c r="G188" s="884"/>
      <c r="H188" s="884"/>
      <c r="I188" s="884"/>
      <c r="J188" s="884"/>
      <c r="K188" s="884"/>
      <c r="M188" s="225">
        <v>7</v>
      </c>
      <c r="N188" s="234" t="str">
        <f aca="true" t="shared" si="121" ref="N188:N194">IF($M188&lt;&gt;0,VLOOKUP($M188,equi,2),"")</f>
        <v>Cincel  ( 1º Pasada )</v>
      </c>
      <c r="O188" s="889">
        <v>1</v>
      </c>
      <c r="P188" s="235">
        <f aca="true" t="shared" si="122" ref="P188:P193">IF($M188&lt;&gt;0,VLOOKUP($M188,equi,3),"")</f>
        <v>0.95</v>
      </c>
      <c r="Q188" s="869">
        <f aca="true" t="shared" si="123" ref="Q188:Q193">$O$186*P188</f>
        <v>13.299999999999999</v>
      </c>
      <c r="R188" s="890">
        <f aca="true" t="shared" si="124" ref="R188:W193">$Q188*$O188</f>
        <v>13.299999999999999</v>
      </c>
      <c r="S188" s="890">
        <f t="shared" si="124"/>
        <v>13.299999999999999</v>
      </c>
      <c r="T188" s="890">
        <f t="shared" si="124"/>
        <v>13.299999999999999</v>
      </c>
      <c r="U188" s="890">
        <f t="shared" si="124"/>
        <v>13.299999999999999</v>
      </c>
      <c r="V188" s="890">
        <f t="shared" si="124"/>
        <v>13.299999999999999</v>
      </c>
      <c r="W188" s="890">
        <f t="shared" si="124"/>
        <v>13.299999999999999</v>
      </c>
    </row>
    <row r="189" spans="1:23" ht="12" customHeight="1" thickBot="1">
      <c r="A189" s="155" t="s">
        <v>512</v>
      </c>
      <c r="B189" s="887"/>
      <c r="C189" s="886" t="s">
        <v>974</v>
      </c>
      <c r="D189" s="219" t="s">
        <v>910</v>
      </c>
      <c r="E189" s="727" t="s">
        <v>911</v>
      </c>
      <c r="F189" s="1135" t="s">
        <v>912</v>
      </c>
      <c r="G189" s="1136"/>
      <c r="H189" s="1136"/>
      <c r="I189" s="1136"/>
      <c r="J189" s="1136"/>
      <c r="K189" s="1137"/>
      <c r="M189" s="225">
        <v>5</v>
      </c>
      <c r="N189" s="234" t="str">
        <f t="shared" si="121"/>
        <v>Disco Doble Acción</v>
      </c>
      <c r="O189" s="889">
        <v>2</v>
      </c>
      <c r="P189" s="235">
        <f t="shared" si="122"/>
        <v>0.5</v>
      </c>
      <c r="Q189" s="869">
        <f t="shared" si="123"/>
        <v>7</v>
      </c>
      <c r="R189" s="869">
        <f t="shared" si="124"/>
        <v>14</v>
      </c>
      <c r="S189" s="869">
        <f t="shared" si="124"/>
        <v>14</v>
      </c>
      <c r="T189" s="869">
        <f t="shared" si="124"/>
        <v>14</v>
      </c>
      <c r="U189" s="869">
        <f t="shared" si="124"/>
        <v>14</v>
      </c>
      <c r="V189" s="869">
        <f t="shared" si="124"/>
        <v>14</v>
      </c>
      <c r="W189" s="869">
        <f t="shared" si="124"/>
        <v>14</v>
      </c>
    </row>
    <row r="190" spans="1:23" ht="12" customHeight="1">
      <c r="A190" s="225">
        <v>8</v>
      </c>
      <c r="B190" s="784" t="str">
        <f aca="true" t="shared" si="125" ref="B190:B200">IF($A190&lt;&gt;0,VLOOKUP($A190,equi,2),"")</f>
        <v>Cincel  ( 2º  Pasada )</v>
      </c>
      <c r="C190" s="891">
        <v>1</v>
      </c>
      <c r="D190" s="235">
        <f aca="true" t="shared" si="126" ref="D190:D200">IF($A190&lt;&gt;0,VLOOKUP($A190,equi,3),"")</f>
        <v>0.8</v>
      </c>
      <c r="E190" s="892">
        <f>D190*$C$187</f>
        <v>14.4</v>
      </c>
      <c r="F190" s="893">
        <f aca="true" t="shared" si="127" ref="F190:K200">$E190*$C190</f>
        <v>14.4</v>
      </c>
      <c r="G190" s="894">
        <f t="shared" si="127"/>
        <v>14.4</v>
      </c>
      <c r="H190" s="893">
        <f t="shared" si="127"/>
        <v>14.4</v>
      </c>
      <c r="I190" s="893">
        <f t="shared" si="127"/>
        <v>14.4</v>
      </c>
      <c r="J190" s="893">
        <f t="shared" si="127"/>
        <v>14.4</v>
      </c>
      <c r="K190" s="893">
        <f t="shared" si="127"/>
        <v>14.4</v>
      </c>
      <c r="M190" s="225">
        <v>11</v>
      </c>
      <c r="N190" s="234" t="str">
        <f t="shared" si="121"/>
        <v>Cultivador de Campo</v>
      </c>
      <c r="O190" s="889">
        <v>1</v>
      </c>
      <c r="P190" s="235">
        <f t="shared" si="122"/>
        <v>0.45</v>
      </c>
      <c r="Q190" s="869">
        <f t="shared" si="123"/>
        <v>6.3</v>
      </c>
      <c r="R190" s="869">
        <f t="shared" si="124"/>
        <v>6.3</v>
      </c>
      <c r="S190" s="869">
        <f t="shared" si="124"/>
        <v>6.3</v>
      </c>
      <c r="T190" s="869">
        <f t="shared" si="124"/>
        <v>6.3</v>
      </c>
      <c r="U190" s="869">
        <f t="shared" si="124"/>
        <v>6.3</v>
      </c>
      <c r="V190" s="869">
        <f t="shared" si="124"/>
        <v>6.3</v>
      </c>
      <c r="W190" s="869">
        <f t="shared" si="124"/>
        <v>6.3</v>
      </c>
    </row>
    <row r="191" spans="1:23" ht="12" customHeight="1">
      <c r="A191" s="225">
        <v>6</v>
      </c>
      <c r="B191" s="784" t="str">
        <f t="shared" si="125"/>
        <v>Disco Doble Acción más Rastra de Dientes</v>
      </c>
      <c r="C191" s="891">
        <v>2.2</v>
      </c>
      <c r="D191" s="235">
        <f t="shared" si="126"/>
        <v>0.65</v>
      </c>
      <c r="E191" s="892">
        <f aca="true" t="shared" si="128" ref="E191:E199">D191*$C$187</f>
        <v>11.700000000000001</v>
      </c>
      <c r="F191" s="892">
        <f t="shared" si="127"/>
        <v>25.740000000000006</v>
      </c>
      <c r="G191" s="895">
        <f t="shared" si="127"/>
        <v>25.740000000000006</v>
      </c>
      <c r="H191" s="892">
        <f t="shared" si="127"/>
        <v>25.740000000000006</v>
      </c>
      <c r="I191" s="892">
        <f t="shared" si="127"/>
        <v>25.740000000000006</v>
      </c>
      <c r="J191" s="892">
        <f t="shared" si="127"/>
        <v>25.740000000000006</v>
      </c>
      <c r="K191" s="892">
        <f t="shared" si="127"/>
        <v>25.740000000000006</v>
      </c>
      <c r="M191" s="225">
        <v>13</v>
      </c>
      <c r="N191" s="234" t="str">
        <f t="shared" si="121"/>
        <v>Rastra de Dientes</v>
      </c>
      <c r="O191" s="889">
        <v>1</v>
      </c>
      <c r="P191" s="235">
        <f t="shared" si="122"/>
        <v>0.25</v>
      </c>
      <c r="Q191" s="869">
        <f t="shared" si="123"/>
        <v>3.5</v>
      </c>
      <c r="R191" s="869">
        <f t="shared" si="124"/>
        <v>3.5</v>
      </c>
      <c r="S191" s="869">
        <f t="shared" si="124"/>
        <v>3.5</v>
      </c>
      <c r="T191" s="869">
        <f t="shared" si="124"/>
        <v>3.5</v>
      </c>
      <c r="U191" s="869">
        <f t="shared" si="124"/>
        <v>3.5</v>
      </c>
      <c r="V191" s="869">
        <f t="shared" si="124"/>
        <v>3.5</v>
      </c>
      <c r="W191" s="869">
        <f t="shared" si="124"/>
        <v>3.5</v>
      </c>
    </row>
    <row r="192" spans="1:23" ht="12" customHeight="1">
      <c r="A192" s="225">
        <v>11</v>
      </c>
      <c r="B192" s="784" t="str">
        <f t="shared" si="125"/>
        <v>Cultivador de Campo</v>
      </c>
      <c r="C192" s="891">
        <v>1</v>
      </c>
      <c r="D192" s="235">
        <f t="shared" si="126"/>
        <v>0.45</v>
      </c>
      <c r="E192" s="892">
        <f t="shared" si="128"/>
        <v>8.1</v>
      </c>
      <c r="F192" s="892">
        <f t="shared" si="127"/>
        <v>8.1</v>
      </c>
      <c r="G192" s="895">
        <f t="shared" si="127"/>
        <v>8.1</v>
      </c>
      <c r="H192" s="892">
        <f t="shared" si="127"/>
        <v>8.1</v>
      </c>
      <c r="I192" s="892">
        <f t="shared" si="127"/>
        <v>8.1</v>
      </c>
      <c r="J192" s="892">
        <f t="shared" si="127"/>
        <v>8.1</v>
      </c>
      <c r="K192" s="892">
        <f t="shared" si="127"/>
        <v>8.1</v>
      </c>
      <c r="M192" s="896">
        <v>16</v>
      </c>
      <c r="N192" s="234" t="str">
        <f t="shared" si="121"/>
        <v>Siembra Gruesa Convencional</v>
      </c>
      <c r="O192" s="889">
        <v>1</v>
      </c>
      <c r="P192" s="235">
        <f t="shared" si="122"/>
        <v>0.45</v>
      </c>
      <c r="Q192" s="869">
        <f t="shared" si="123"/>
        <v>6.3</v>
      </c>
      <c r="R192" s="869">
        <f t="shared" si="124"/>
        <v>6.3</v>
      </c>
      <c r="S192" s="869">
        <f t="shared" si="124"/>
        <v>6.3</v>
      </c>
      <c r="T192" s="869">
        <f t="shared" si="124"/>
        <v>6.3</v>
      </c>
      <c r="U192" s="869">
        <f t="shared" si="124"/>
        <v>6.3</v>
      </c>
      <c r="V192" s="869">
        <f t="shared" si="124"/>
        <v>6.3</v>
      </c>
      <c r="W192" s="869">
        <f t="shared" si="124"/>
        <v>6.3</v>
      </c>
    </row>
    <row r="193" spans="1:23" ht="12" customHeight="1">
      <c r="A193" s="225">
        <v>13</v>
      </c>
      <c r="B193" s="784" t="str">
        <f t="shared" si="125"/>
        <v>Rastra de Dientes</v>
      </c>
      <c r="C193" s="891">
        <v>1</v>
      </c>
      <c r="D193" s="235">
        <f t="shared" si="126"/>
        <v>0.25</v>
      </c>
      <c r="E193" s="892">
        <f t="shared" si="128"/>
        <v>4.5</v>
      </c>
      <c r="F193" s="892">
        <f t="shared" si="127"/>
        <v>4.5</v>
      </c>
      <c r="G193" s="895">
        <f t="shared" si="127"/>
        <v>4.5</v>
      </c>
      <c r="H193" s="892">
        <f t="shared" si="127"/>
        <v>4.5</v>
      </c>
      <c r="I193" s="892">
        <f t="shared" si="127"/>
        <v>4.5</v>
      </c>
      <c r="J193" s="892">
        <f t="shared" si="127"/>
        <v>4.5</v>
      </c>
      <c r="K193" s="892">
        <f t="shared" si="127"/>
        <v>4.5</v>
      </c>
      <c r="M193" s="896">
        <v>20</v>
      </c>
      <c r="N193" s="234" t="str">
        <f t="shared" si="121"/>
        <v>Escardillo</v>
      </c>
      <c r="O193" s="889">
        <v>2</v>
      </c>
      <c r="P193" s="235">
        <f t="shared" si="122"/>
        <v>0.4</v>
      </c>
      <c r="Q193" s="869">
        <f t="shared" si="123"/>
        <v>5.6000000000000005</v>
      </c>
      <c r="R193" s="869">
        <f t="shared" si="124"/>
        <v>11.200000000000001</v>
      </c>
      <c r="S193" s="869">
        <f t="shared" si="124"/>
        <v>11.200000000000001</v>
      </c>
      <c r="T193" s="869">
        <f t="shared" si="124"/>
        <v>11.200000000000001</v>
      </c>
      <c r="U193" s="869">
        <f t="shared" si="124"/>
        <v>11.200000000000001</v>
      </c>
      <c r="V193" s="869">
        <f t="shared" si="124"/>
        <v>11.200000000000001</v>
      </c>
      <c r="W193" s="869">
        <f t="shared" si="124"/>
        <v>11.200000000000001</v>
      </c>
    </row>
    <row r="194" spans="1:21" ht="12" customHeight="1">
      <c r="A194" s="225">
        <v>16</v>
      </c>
      <c r="B194" s="784" t="str">
        <f t="shared" si="125"/>
        <v>Siembra Gruesa Convencional</v>
      </c>
      <c r="C194" s="891">
        <v>0.6</v>
      </c>
      <c r="D194" s="235">
        <f t="shared" si="126"/>
        <v>0.45</v>
      </c>
      <c r="E194" s="892">
        <f t="shared" si="128"/>
        <v>8.1</v>
      </c>
      <c r="F194" s="892">
        <f t="shared" si="127"/>
        <v>4.859999999999999</v>
      </c>
      <c r="G194" s="895">
        <f t="shared" si="127"/>
        <v>4.859999999999999</v>
      </c>
      <c r="H194" s="892">
        <f t="shared" si="127"/>
        <v>4.859999999999999</v>
      </c>
      <c r="I194" s="892">
        <f t="shared" si="127"/>
        <v>4.859999999999999</v>
      </c>
      <c r="J194" s="892">
        <f t="shared" si="127"/>
        <v>4.859999999999999</v>
      </c>
      <c r="K194" s="892">
        <f t="shared" si="127"/>
        <v>4.859999999999999</v>
      </c>
      <c r="M194" s="896">
        <v>23</v>
      </c>
      <c r="N194" s="234" t="str">
        <f t="shared" si="121"/>
        <v>Pulverización Terrestre p/Insecticidas</v>
      </c>
      <c r="O194" s="869"/>
      <c r="P194" s="897"/>
      <c r="Q194" s="898"/>
      <c r="R194" s="898"/>
      <c r="S194" s="898"/>
      <c r="T194" s="898"/>
      <c r="U194" s="898"/>
    </row>
    <row r="195" spans="1:23" ht="12" customHeight="1">
      <c r="A195" s="225">
        <v>20</v>
      </c>
      <c r="B195" s="784" t="str">
        <f t="shared" si="125"/>
        <v>Escardillo</v>
      </c>
      <c r="C195" s="891">
        <v>0.5</v>
      </c>
      <c r="D195" s="235">
        <f t="shared" si="126"/>
        <v>0.4</v>
      </c>
      <c r="E195" s="892">
        <f t="shared" si="128"/>
        <v>7.2</v>
      </c>
      <c r="F195" s="892">
        <f t="shared" si="127"/>
        <v>3.6</v>
      </c>
      <c r="G195" s="895">
        <f t="shared" si="127"/>
        <v>3.6</v>
      </c>
      <c r="H195" s="892">
        <f t="shared" si="127"/>
        <v>3.6</v>
      </c>
      <c r="I195" s="892">
        <f t="shared" si="127"/>
        <v>3.6</v>
      </c>
      <c r="J195" s="892">
        <f t="shared" si="127"/>
        <v>3.6</v>
      </c>
      <c r="K195" s="892">
        <f t="shared" si="127"/>
        <v>3.6</v>
      </c>
      <c r="M195" s="896">
        <v>23</v>
      </c>
      <c r="N195" s="162" t="s">
        <v>375</v>
      </c>
      <c r="O195" s="899">
        <v>0.5</v>
      </c>
      <c r="P195" s="235">
        <f>IF($M195&lt;&gt;0,VLOOKUP($M195,equi,3),"")</f>
        <v>0.3</v>
      </c>
      <c r="Q195" s="869">
        <f>$O$186*P195</f>
        <v>4.2</v>
      </c>
      <c r="R195" s="869">
        <f aca="true" t="shared" si="129" ref="R195:W195">$Q195*$O195</f>
        <v>2.1</v>
      </c>
      <c r="S195" s="869">
        <f t="shared" si="129"/>
        <v>2.1</v>
      </c>
      <c r="T195" s="869">
        <f t="shared" si="129"/>
        <v>2.1</v>
      </c>
      <c r="U195" s="869">
        <f t="shared" si="129"/>
        <v>2.1</v>
      </c>
      <c r="V195" s="869">
        <f t="shared" si="129"/>
        <v>2.1</v>
      </c>
      <c r="W195" s="869">
        <f t="shared" si="129"/>
        <v>2.1</v>
      </c>
    </row>
    <row r="196" spans="1:21" ht="12" customHeight="1">
      <c r="A196" s="225">
        <v>22</v>
      </c>
      <c r="B196" s="784" t="str">
        <f t="shared" si="125"/>
        <v>Pulverización Terrestre p/Herbicidas y Defoliantes</v>
      </c>
      <c r="C196" s="892">
        <v>4.5</v>
      </c>
      <c r="D196" s="235">
        <f t="shared" si="126"/>
        <v>0.25</v>
      </c>
      <c r="E196" s="892">
        <f t="shared" si="128"/>
        <v>4.5</v>
      </c>
      <c r="F196" s="892">
        <f t="shared" si="127"/>
        <v>20.25</v>
      </c>
      <c r="G196" s="895">
        <f t="shared" si="127"/>
        <v>20.25</v>
      </c>
      <c r="H196" s="892">
        <f t="shared" si="127"/>
        <v>20.25</v>
      </c>
      <c r="I196" s="892">
        <f t="shared" si="127"/>
        <v>20.25</v>
      </c>
      <c r="J196" s="892">
        <f t="shared" si="127"/>
        <v>20.25</v>
      </c>
      <c r="K196" s="892">
        <f t="shared" si="127"/>
        <v>20.25</v>
      </c>
      <c r="M196" s="896">
        <v>29</v>
      </c>
      <c r="N196" s="234" t="str">
        <f>IF($M196&lt;&gt;0,VLOOKUP($M196,equi,2),"")</f>
        <v>Pulverizacion aérea</v>
      </c>
      <c r="O196" s="356"/>
      <c r="P196" s="33"/>
      <c r="Q196" s="356"/>
      <c r="R196" s="356"/>
      <c r="S196" s="356"/>
      <c r="T196" s="356"/>
      <c r="U196" s="356"/>
    </row>
    <row r="197" spans="1:23" ht="12" customHeight="1">
      <c r="A197" s="225">
        <v>23</v>
      </c>
      <c r="B197" s="784" t="str">
        <f t="shared" si="125"/>
        <v>Pulverización Terrestre p/Insecticidas</v>
      </c>
      <c r="C197" s="892">
        <v>4</v>
      </c>
      <c r="D197" s="235">
        <f t="shared" si="126"/>
        <v>0.3</v>
      </c>
      <c r="E197" s="892">
        <f t="shared" si="128"/>
        <v>5.3999999999999995</v>
      </c>
      <c r="F197" s="892">
        <f t="shared" si="127"/>
        <v>21.599999999999998</v>
      </c>
      <c r="G197" s="895">
        <f t="shared" si="127"/>
        <v>21.599999999999998</v>
      </c>
      <c r="H197" s="892">
        <f t="shared" si="127"/>
        <v>21.599999999999998</v>
      </c>
      <c r="I197" s="892">
        <f t="shared" si="127"/>
        <v>21.599999999999998</v>
      </c>
      <c r="J197" s="892">
        <f t="shared" si="127"/>
        <v>21.599999999999998</v>
      </c>
      <c r="K197" s="892">
        <f t="shared" si="127"/>
        <v>21.599999999999998</v>
      </c>
      <c r="M197" s="896">
        <v>29</v>
      </c>
      <c r="N197" s="162" t="s">
        <v>376</v>
      </c>
      <c r="O197" s="900">
        <v>0.5</v>
      </c>
      <c r="P197" s="235">
        <f>IF($M197&lt;&gt;0,VLOOKUP($M197,equi,3),"")</f>
        <v>0.6</v>
      </c>
      <c r="Q197" s="869">
        <f>$O$186*P197</f>
        <v>8.4</v>
      </c>
      <c r="R197" s="869">
        <f aca="true" t="shared" si="130" ref="R197:W198">$Q197*$O197</f>
        <v>4.2</v>
      </c>
      <c r="S197" s="869">
        <f t="shared" si="130"/>
        <v>4.2</v>
      </c>
      <c r="T197" s="869">
        <f t="shared" si="130"/>
        <v>4.2</v>
      </c>
      <c r="U197" s="869">
        <f t="shared" si="130"/>
        <v>4.2</v>
      </c>
      <c r="V197" s="869">
        <f t="shared" si="130"/>
        <v>4.2</v>
      </c>
      <c r="W197" s="869">
        <f t="shared" si="130"/>
        <v>4.2</v>
      </c>
    </row>
    <row r="198" spans="1:23" ht="12" customHeight="1">
      <c r="A198" s="225">
        <v>29</v>
      </c>
      <c r="B198" s="784" t="str">
        <f t="shared" si="125"/>
        <v>Pulverizacion aérea</v>
      </c>
      <c r="C198" s="892">
        <v>7</v>
      </c>
      <c r="D198" s="235">
        <f t="shared" si="126"/>
        <v>0.6</v>
      </c>
      <c r="E198" s="892">
        <f t="shared" si="128"/>
        <v>10.799999999999999</v>
      </c>
      <c r="F198" s="892">
        <f t="shared" si="127"/>
        <v>75.6</v>
      </c>
      <c r="G198" s="895">
        <f t="shared" si="127"/>
        <v>75.6</v>
      </c>
      <c r="H198" s="892">
        <f t="shared" si="127"/>
        <v>75.6</v>
      </c>
      <c r="I198" s="892">
        <f t="shared" si="127"/>
        <v>75.6</v>
      </c>
      <c r="J198" s="892">
        <f t="shared" si="127"/>
        <v>75.6</v>
      </c>
      <c r="K198" s="892">
        <f t="shared" si="127"/>
        <v>75.6</v>
      </c>
      <c r="M198" s="896">
        <v>22</v>
      </c>
      <c r="N198" s="234" t="str">
        <f>IF($M198&lt;&gt;0,VLOOKUP($M198,equi,2),"")</f>
        <v>Pulverización Terrestre p/Herbicidas y Defoliantes</v>
      </c>
      <c r="O198" s="899">
        <v>0.5</v>
      </c>
      <c r="P198" s="235">
        <f>IF($M198&lt;&gt;0,VLOOKUP($M198,equi,3),"")</f>
        <v>0.25</v>
      </c>
      <c r="Q198" s="869">
        <f>$O$186*P198</f>
        <v>3.5</v>
      </c>
      <c r="R198" s="869">
        <f t="shared" si="130"/>
        <v>1.75</v>
      </c>
      <c r="S198" s="869">
        <f t="shared" si="130"/>
        <v>1.75</v>
      </c>
      <c r="T198" s="869">
        <f t="shared" si="130"/>
        <v>1.75</v>
      </c>
      <c r="U198" s="869">
        <f t="shared" si="130"/>
        <v>1.75</v>
      </c>
      <c r="V198" s="869">
        <f t="shared" si="130"/>
        <v>1.75</v>
      </c>
      <c r="W198" s="869">
        <f t="shared" si="130"/>
        <v>1.75</v>
      </c>
    </row>
    <row r="199" spans="1:23" ht="12" customHeight="1" thickBot="1">
      <c r="A199" s="225">
        <v>26</v>
      </c>
      <c r="B199" s="784" t="str">
        <f t="shared" si="125"/>
        <v>Aplicacion Fertilizante al Voleo </v>
      </c>
      <c r="C199" s="892">
        <v>0.2</v>
      </c>
      <c r="D199" s="235">
        <f t="shared" si="126"/>
        <v>0.25</v>
      </c>
      <c r="E199" s="892">
        <f t="shared" si="128"/>
        <v>4.5</v>
      </c>
      <c r="F199" s="892">
        <f t="shared" si="127"/>
        <v>0.9</v>
      </c>
      <c r="G199" s="895">
        <f t="shared" si="127"/>
        <v>0.9</v>
      </c>
      <c r="H199" s="892">
        <f t="shared" si="127"/>
        <v>0.9</v>
      </c>
      <c r="I199" s="892">
        <f t="shared" si="127"/>
        <v>0.9</v>
      </c>
      <c r="J199" s="892">
        <f t="shared" si="127"/>
        <v>0.9</v>
      </c>
      <c r="K199" s="892">
        <f t="shared" si="127"/>
        <v>0.9</v>
      </c>
      <c r="M199" s="901"/>
      <c r="N199" s="791" t="s">
        <v>913</v>
      </c>
      <c r="O199" s="869"/>
      <c r="P199" s="242"/>
      <c r="Q199" s="902">
        <f aca="true" t="shared" si="131" ref="Q199:W199">SUM(Q188:Q198)</f>
        <v>58.1</v>
      </c>
      <c r="R199" s="902">
        <f t="shared" si="131"/>
        <v>62.65</v>
      </c>
      <c r="S199" s="902">
        <f t="shared" si="131"/>
        <v>62.65</v>
      </c>
      <c r="T199" s="902">
        <f t="shared" si="131"/>
        <v>62.65</v>
      </c>
      <c r="U199" s="902">
        <f t="shared" si="131"/>
        <v>62.65</v>
      </c>
      <c r="V199" s="902">
        <f t="shared" si="131"/>
        <v>62.65</v>
      </c>
      <c r="W199" s="902">
        <f t="shared" si="131"/>
        <v>62.65</v>
      </c>
    </row>
    <row r="200" spans="1:23" ht="12" customHeight="1" thickBot="1">
      <c r="A200" s="225">
        <v>24</v>
      </c>
      <c r="B200" s="784" t="str">
        <f t="shared" si="125"/>
        <v>Desmalezadora</v>
      </c>
      <c r="C200" s="891">
        <v>0.6</v>
      </c>
      <c r="D200" s="235">
        <f t="shared" si="126"/>
        <v>0.4</v>
      </c>
      <c r="E200" s="892">
        <f>D200*$C$187</f>
        <v>7.2</v>
      </c>
      <c r="F200" s="892">
        <f t="shared" si="127"/>
        <v>4.32</v>
      </c>
      <c r="G200" s="895">
        <f t="shared" si="127"/>
        <v>4.32</v>
      </c>
      <c r="H200" s="892">
        <f t="shared" si="127"/>
        <v>4.32</v>
      </c>
      <c r="I200" s="892">
        <f t="shared" si="127"/>
        <v>4.32</v>
      </c>
      <c r="J200" s="892">
        <f t="shared" si="127"/>
        <v>4.32</v>
      </c>
      <c r="K200" s="892">
        <f t="shared" si="127"/>
        <v>4.32</v>
      </c>
      <c r="M200" s="901"/>
      <c r="N200" s="162"/>
      <c r="O200" s="166" t="s">
        <v>817</v>
      </c>
      <c r="P200" s="219" t="s">
        <v>915</v>
      </c>
      <c r="Q200" s="735" t="s">
        <v>916</v>
      </c>
      <c r="R200" s="1135" t="s">
        <v>912</v>
      </c>
      <c r="S200" s="1136"/>
      <c r="T200" s="1136"/>
      <c r="U200" s="1136"/>
      <c r="V200" s="1136"/>
      <c r="W200" s="1137"/>
    </row>
    <row r="201" spans="1:23" ht="12" customHeight="1">
      <c r="A201" s="191"/>
      <c r="B201" s="234"/>
      <c r="C201" s="903"/>
      <c r="D201" s="904"/>
      <c r="E201" s="892"/>
      <c r="F201" s="892"/>
      <c r="G201" s="892"/>
      <c r="H201" s="892"/>
      <c r="I201" s="905"/>
      <c r="J201" s="892"/>
      <c r="K201" s="892"/>
      <c r="M201" s="906"/>
      <c r="N201" s="162" t="s">
        <v>294</v>
      </c>
      <c r="O201" s="907">
        <v>3.5</v>
      </c>
      <c r="P201" s="164">
        <v>8</v>
      </c>
      <c r="Q201" s="869">
        <f aca="true" t="shared" si="132" ref="Q201:W204">$P201*$O201</f>
        <v>28</v>
      </c>
      <c r="R201" s="890">
        <f t="shared" si="132"/>
        <v>28</v>
      </c>
      <c r="S201" s="890">
        <f t="shared" si="132"/>
        <v>28</v>
      </c>
      <c r="T201" s="890">
        <f t="shared" si="132"/>
        <v>28</v>
      </c>
      <c r="U201" s="890">
        <f t="shared" si="132"/>
        <v>28</v>
      </c>
      <c r="V201" s="890">
        <f t="shared" si="132"/>
        <v>28</v>
      </c>
      <c r="W201" s="890">
        <f t="shared" si="132"/>
        <v>28</v>
      </c>
    </row>
    <row r="202" spans="1:23" ht="12" customHeight="1">
      <c r="A202" s="191"/>
      <c r="B202" s="879" t="s">
        <v>303</v>
      </c>
      <c r="C202" s="877"/>
      <c r="D202" s="221"/>
      <c r="E202" s="908">
        <f>SUM(E190:E200)</f>
        <v>86.4</v>
      </c>
      <c r="F202" s="908">
        <f aca="true" t="shared" si="133" ref="F202:K202">SUM(F187:F200)</f>
        <v>183.87</v>
      </c>
      <c r="G202" s="909">
        <f t="shared" si="133"/>
        <v>183.87</v>
      </c>
      <c r="H202" s="908">
        <f t="shared" si="133"/>
        <v>183.87</v>
      </c>
      <c r="I202" s="910">
        <f t="shared" si="133"/>
        <v>183.87</v>
      </c>
      <c r="J202" s="908">
        <f t="shared" si="133"/>
        <v>183.87</v>
      </c>
      <c r="K202" s="908">
        <f t="shared" si="133"/>
        <v>183.87</v>
      </c>
      <c r="N202" s="162" t="s">
        <v>820</v>
      </c>
      <c r="O202" s="163">
        <v>1.8</v>
      </c>
      <c r="P202" s="164">
        <v>6.28</v>
      </c>
      <c r="Q202" s="869">
        <f t="shared" si="132"/>
        <v>11.304</v>
      </c>
      <c r="R202" s="869">
        <f t="shared" si="132"/>
        <v>11.304</v>
      </c>
      <c r="S202" s="869">
        <f t="shared" si="132"/>
        <v>11.304</v>
      </c>
      <c r="T202" s="869">
        <f t="shared" si="132"/>
        <v>11.304</v>
      </c>
      <c r="U202" s="869">
        <f t="shared" si="132"/>
        <v>11.304</v>
      </c>
      <c r="V202" s="869">
        <f t="shared" si="132"/>
        <v>11.304</v>
      </c>
      <c r="W202" s="869">
        <f t="shared" si="132"/>
        <v>11.304</v>
      </c>
    </row>
    <row r="203" spans="1:23" ht="12" customHeight="1" thickBot="1">
      <c r="A203" s="191"/>
      <c r="I203" s="157"/>
      <c r="N203" s="162" t="s">
        <v>295</v>
      </c>
      <c r="O203" s="163">
        <v>3</v>
      </c>
      <c r="P203" s="164">
        <v>12</v>
      </c>
      <c r="Q203" s="869">
        <f t="shared" si="132"/>
        <v>36</v>
      </c>
      <c r="R203" s="869">
        <f t="shared" si="132"/>
        <v>36</v>
      </c>
      <c r="S203" s="869">
        <f t="shared" si="132"/>
        <v>36</v>
      </c>
      <c r="T203" s="869">
        <f t="shared" si="132"/>
        <v>36</v>
      </c>
      <c r="U203" s="869">
        <f t="shared" si="132"/>
        <v>36</v>
      </c>
      <c r="V203" s="869">
        <f t="shared" si="132"/>
        <v>36</v>
      </c>
      <c r="W203" s="869">
        <f t="shared" si="132"/>
        <v>36</v>
      </c>
    </row>
    <row r="204" spans="1:23" ht="12" customHeight="1" thickBot="1">
      <c r="A204" s="191"/>
      <c r="C204" s="170" t="s">
        <v>817</v>
      </c>
      <c r="D204" s="245" t="s">
        <v>915</v>
      </c>
      <c r="E204" s="245" t="s">
        <v>916</v>
      </c>
      <c r="F204" s="1152" t="s">
        <v>912</v>
      </c>
      <c r="G204" s="1153"/>
      <c r="H204" s="1153"/>
      <c r="I204" s="1153"/>
      <c r="J204" s="1153"/>
      <c r="K204" s="1154"/>
      <c r="N204" s="162" t="s">
        <v>821</v>
      </c>
      <c r="O204" s="163">
        <v>0.06</v>
      </c>
      <c r="P204" s="164">
        <v>21</v>
      </c>
      <c r="Q204" s="869">
        <f t="shared" si="132"/>
        <v>1.26</v>
      </c>
      <c r="R204" s="869">
        <f t="shared" si="132"/>
        <v>1.26</v>
      </c>
      <c r="S204" s="869">
        <f t="shared" si="132"/>
        <v>1.26</v>
      </c>
      <c r="T204" s="869">
        <f t="shared" si="132"/>
        <v>1.26</v>
      </c>
      <c r="U204" s="869">
        <f t="shared" si="132"/>
        <v>1.26</v>
      </c>
      <c r="V204" s="869">
        <f t="shared" si="132"/>
        <v>1.26</v>
      </c>
      <c r="W204" s="869">
        <f t="shared" si="132"/>
        <v>1.26</v>
      </c>
    </row>
    <row r="205" spans="1:23" ht="12" customHeight="1">
      <c r="A205" s="191"/>
      <c r="B205" s="234" t="s">
        <v>304</v>
      </c>
      <c r="C205" s="911">
        <v>0.4</v>
      </c>
      <c r="D205" s="889">
        <v>35</v>
      </c>
      <c r="E205" s="892">
        <f aca="true" t="shared" si="134" ref="E205:K212">$C205*$D205</f>
        <v>14</v>
      </c>
      <c r="F205" s="912">
        <f t="shared" si="134"/>
        <v>14</v>
      </c>
      <c r="G205" s="913">
        <f t="shared" si="134"/>
        <v>14</v>
      </c>
      <c r="H205" s="912">
        <f t="shared" si="134"/>
        <v>14</v>
      </c>
      <c r="I205" s="914">
        <f t="shared" si="134"/>
        <v>14</v>
      </c>
      <c r="J205" s="912">
        <f t="shared" si="134"/>
        <v>14</v>
      </c>
      <c r="K205" s="912">
        <f t="shared" si="134"/>
        <v>14</v>
      </c>
      <c r="M205" s="191"/>
      <c r="N205" s="791" t="s">
        <v>823</v>
      </c>
      <c r="O205" s="915"/>
      <c r="P205" s="163"/>
      <c r="Q205" s="916">
        <f aca="true" t="shared" si="135" ref="Q205:W205">SUM(Q201:Q204)</f>
        <v>76.56400000000001</v>
      </c>
      <c r="R205" s="916">
        <f t="shared" si="135"/>
        <v>76.56400000000001</v>
      </c>
      <c r="S205" s="916">
        <f t="shared" si="135"/>
        <v>76.56400000000001</v>
      </c>
      <c r="T205" s="916">
        <f t="shared" si="135"/>
        <v>76.56400000000001</v>
      </c>
      <c r="U205" s="916">
        <f t="shared" si="135"/>
        <v>76.56400000000001</v>
      </c>
      <c r="V205" s="916">
        <f t="shared" si="135"/>
        <v>76.56400000000001</v>
      </c>
      <c r="W205" s="916">
        <f t="shared" si="135"/>
        <v>76.56400000000001</v>
      </c>
    </row>
    <row r="206" spans="1:23" ht="12" customHeight="1">
      <c r="A206" s="191"/>
      <c r="B206" s="917" t="s">
        <v>305</v>
      </c>
      <c r="C206" s="911">
        <v>5</v>
      </c>
      <c r="D206" s="889">
        <v>1.8</v>
      </c>
      <c r="E206" s="892">
        <f t="shared" si="134"/>
        <v>9</v>
      </c>
      <c r="F206" s="918">
        <f t="shared" si="134"/>
        <v>9</v>
      </c>
      <c r="G206" s="919">
        <f t="shared" si="134"/>
        <v>9</v>
      </c>
      <c r="H206" s="918">
        <f t="shared" si="134"/>
        <v>9</v>
      </c>
      <c r="I206" s="920">
        <f t="shared" si="134"/>
        <v>9</v>
      </c>
      <c r="J206" s="918">
        <f t="shared" si="134"/>
        <v>9</v>
      </c>
      <c r="K206" s="918">
        <f t="shared" si="134"/>
        <v>9</v>
      </c>
      <c r="M206" s="191"/>
      <c r="N206" s="180"/>
      <c r="O206" s="921"/>
      <c r="P206" s="922"/>
      <c r="Q206" s="921"/>
      <c r="R206" s="921"/>
      <c r="S206" s="921"/>
      <c r="T206" s="921"/>
      <c r="U206" s="921"/>
      <c r="V206" s="356"/>
      <c r="W206" s="356"/>
    </row>
    <row r="207" spans="1:23" ht="12" customHeight="1">
      <c r="A207" s="191"/>
      <c r="B207" s="917" t="s">
        <v>306</v>
      </c>
      <c r="C207" s="911">
        <v>0.44</v>
      </c>
      <c r="D207" s="889">
        <v>80</v>
      </c>
      <c r="E207" s="892">
        <f t="shared" si="134"/>
        <v>35.2</v>
      </c>
      <c r="F207" s="918">
        <f t="shared" si="134"/>
        <v>35.2</v>
      </c>
      <c r="G207" s="919">
        <f t="shared" si="134"/>
        <v>35.2</v>
      </c>
      <c r="H207" s="918">
        <f t="shared" si="134"/>
        <v>35.2</v>
      </c>
      <c r="I207" s="920">
        <f t="shared" si="134"/>
        <v>35.2</v>
      </c>
      <c r="J207" s="918">
        <f t="shared" si="134"/>
        <v>35.2</v>
      </c>
      <c r="K207" s="918">
        <f t="shared" si="134"/>
        <v>35.2</v>
      </c>
      <c r="M207" s="191"/>
      <c r="N207" s="791" t="s">
        <v>918</v>
      </c>
      <c r="O207" s="180"/>
      <c r="P207" s="180"/>
      <c r="R207" s="923">
        <f aca="true" t="shared" si="136" ref="R207:W207">R199+R205</f>
        <v>139.214</v>
      </c>
      <c r="S207" s="923">
        <f t="shared" si="136"/>
        <v>139.214</v>
      </c>
      <c r="T207" s="923">
        <f t="shared" si="136"/>
        <v>139.214</v>
      </c>
      <c r="U207" s="923">
        <f t="shared" si="136"/>
        <v>139.214</v>
      </c>
      <c r="V207" s="923">
        <f t="shared" si="136"/>
        <v>139.214</v>
      </c>
      <c r="W207" s="923">
        <f t="shared" si="136"/>
        <v>139.214</v>
      </c>
    </row>
    <row r="208" spans="1:21" ht="12" customHeight="1">
      <c r="A208" s="191"/>
      <c r="B208" s="917" t="s">
        <v>307</v>
      </c>
      <c r="C208" s="911">
        <v>0.38</v>
      </c>
      <c r="D208" s="889">
        <v>70</v>
      </c>
      <c r="E208" s="892">
        <f t="shared" si="134"/>
        <v>26.6</v>
      </c>
      <c r="F208" s="918">
        <f t="shared" si="134"/>
        <v>26.6</v>
      </c>
      <c r="G208" s="919">
        <f t="shared" si="134"/>
        <v>26.6</v>
      </c>
      <c r="H208" s="918">
        <f t="shared" si="134"/>
        <v>26.6</v>
      </c>
      <c r="I208" s="920">
        <f t="shared" si="134"/>
        <v>26.6</v>
      </c>
      <c r="J208" s="918">
        <f t="shared" si="134"/>
        <v>26.6</v>
      </c>
      <c r="K208" s="918">
        <f t="shared" si="134"/>
        <v>26.6</v>
      </c>
      <c r="M208" s="191"/>
      <c r="N208" s="180"/>
      <c r="O208" s="171"/>
      <c r="P208" s="171"/>
      <c r="Q208" s="898"/>
      <c r="R208" s="898"/>
      <c r="S208" s="898"/>
      <c r="T208" s="898"/>
      <c r="U208" s="898"/>
    </row>
    <row r="209" spans="1:21" ht="12" customHeight="1">
      <c r="A209" s="191"/>
      <c r="B209" s="917" t="s">
        <v>308</v>
      </c>
      <c r="C209" s="911">
        <v>8</v>
      </c>
      <c r="D209" s="889">
        <v>0.6</v>
      </c>
      <c r="E209" s="892">
        <f t="shared" si="134"/>
        <v>4.8</v>
      </c>
      <c r="F209" s="918">
        <f t="shared" si="134"/>
        <v>4.8</v>
      </c>
      <c r="G209" s="919">
        <f t="shared" si="134"/>
        <v>4.8</v>
      </c>
      <c r="H209" s="918">
        <f t="shared" si="134"/>
        <v>4.8</v>
      </c>
      <c r="I209" s="920">
        <f t="shared" si="134"/>
        <v>4.8</v>
      </c>
      <c r="J209" s="918">
        <f t="shared" si="134"/>
        <v>4.8</v>
      </c>
      <c r="K209" s="918">
        <f t="shared" si="134"/>
        <v>4.8</v>
      </c>
      <c r="M209" s="191"/>
      <c r="N209" s="791" t="s">
        <v>337</v>
      </c>
      <c r="O209" s="171"/>
      <c r="P209" s="171"/>
      <c r="Q209" s="898"/>
      <c r="R209" s="898"/>
      <c r="S209" s="898"/>
      <c r="T209" s="898"/>
      <c r="U209" s="898"/>
    </row>
    <row r="210" spans="1:23" ht="12" customHeight="1">
      <c r="A210" s="191"/>
      <c r="B210" s="917" t="s">
        <v>309</v>
      </c>
      <c r="C210" s="911">
        <v>0.8</v>
      </c>
      <c r="D210" s="889">
        <v>4.1</v>
      </c>
      <c r="E210" s="892">
        <f t="shared" si="134"/>
        <v>3.28</v>
      </c>
      <c r="F210" s="918">
        <f t="shared" si="134"/>
        <v>3.28</v>
      </c>
      <c r="G210" s="919">
        <f t="shared" si="134"/>
        <v>3.28</v>
      </c>
      <c r="H210" s="918">
        <f t="shared" si="134"/>
        <v>3.28</v>
      </c>
      <c r="I210" s="920">
        <f t="shared" si="134"/>
        <v>3.28</v>
      </c>
      <c r="J210" s="918">
        <f t="shared" si="134"/>
        <v>3.28</v>
      </c>
      <c r="K210" s="918">
        <f t="shared" si="134"/>
        <v>3.28</v>
      </c>
      <c r="M210" s="191"/>
      <c r="N210" s="162" t="s">
        <v>338</v>
      </c>
      <c r="O210" s="924">
        <v>0.1</v>
      </c>
      <c r="P210" s="167">
        <f>O210*O183*T180</f>
        <v>14</v>
      </c>
      <c r="Q210" s="925">
        <f>1*P210</f>
        <v>14</v>
      </c>
      <c r="R210" s="869">
        <f aca="true" t="shared" si="137" ref="R210:W210">$P210*R182/1000</f>
        <v>11.2</v>
      </c>
      <c r="S210" s="869">
        <f t="shared" si="137"/>
        <v>14</v>
      </c>
      <c r="T210" s="869">
        <f t="shared" si="137"/>
        <v>16.8</v>
      </c>
      <c r="U210" s="869">
        <f t="shared" si="137"/>
        <v>19.6</v>
      </c>
      <c r="V210" s="869">
        <f t="shared" si="137"/>
        <v>22.4</v>
      </c>
      <c r="W210" s="869">
        <f t="shared" si="137"/>
        <v>18.9</v>
      </c>
    </row>
    <row r="211" spans="1:23" ht="12" customHeight="1">
      <c r="A211" s="191"/>
      <c r="B211" s="234" t="s">
        <v>310</v>
      </c>
      <c r="C211" s="911">
        <v>0.6</v>
      </c>
      <c r="D211" s="889">
        <v>17</v>
      </c>
      <c r="E211" s="892">
        <f t="shared" si="134"/>
        <v>10.2</v>
      </c>
      <c r="F211" s="918">
        <f t="shared" si="134"/>
        <v>10.2</v>
      </c>
      <c r="G211" s="919">
        <f t="shared" si="134"/>
        <v>10.2</v>
      </c>
      <c r="H211" s="918">
        <f t="shared" si="134"/>
        <v>10.2</v>
      </c>
      <c r="I211" s="920">
        <f t="shared" si="134"/>
        <v>10.2</v>
      </c>
      <c r="J211" s="918">
        <f t="shared" si="134"/>
        <v>10.2</v>
      </c>
      <c r="K211" s="918">
        <f t="shared" si="134"/>
        <v>10.2</v>
      </c>
      <c r="M211" s="191"/>
      <c r="N211" s="162" t="s">
        <v>519</v>
      </c>
      <c r="O211" s="924">
        <v>1</v>
      </c>
      <c r="P211" s="167">
        <v>12</v>
      </c>
      <c r="Q211" s="925">
        <f>1*P211</f>
        <v>12</v>
      </c>
      <c r="R211" s="869">
        <f aca="true" t="shared" si="138" ref="R211:W211">$P211*R182/1000</f>
        <v>9.6</v>
      </c>
      <c r="S211" s="869">
        <f t="shared" si="138"/>
        <v>12</v>
      </c>
      <c r="T211" s="869">
        <f t="shared" si="138"/>
        <v>14.4</v>
      </c>
      <c r="U211" s="869">
        <f t="shared" si="138"/>
        <v>16.8</v>
      </c>
      <c r="V211" s="869">
        <f t="shared" si="138"/>
        <v>19.2</v>
      </c>
      <c r="W211" s="869">
        <f t="shared" si="138"/>
        <v>16.2</v>
      </c>
    </row>
    <row r="212" spans="1:23" ht="12" customHeight="1">
      <c r="A212" s="191"/>
      <c r="B212" s="917" t="s">
        <v>311</v>
      </c>
      <c r="C212" s="911">
        <v>0.5</v>
      </c>
      <c r="D212" s="889">
        <v>2.5</v>
      </c>
      <c r="E212" s="892">
        <f t="shared" si="134"/>
        <v>1.25</v>
      </c>
      <c r="F212" s="918">
        <f t="shared" si="134"/>
        <v>1.25</v>
      </c>
      <c r="G212" s="919">
        <f t="shared" si="134"/>
        <v>1.25</v>
      </c>
      <c r="H212" s="918">
        <f t="shared" si="134"/>
        <v>1.25</v>
      </c>
      <c r="I212" s="920">
        <f t="shared" si="134"/>
        <v>1.25</v>
      </c>
      <c r="J212" s="918">
        <f t="shared" si="134"/>
        <v>1.25</v>
      </c>
      <c r="K212" s="918">
        <f t="shared" si="134"/>
        <v>1.25</v>
      </c>
      <c r="M212" s="191"/>
      <c r="N212" s="174" t="s">
        <v>520</v>
      </c>
      <c r="O212" s="924">
        <v>0.00121</v>
      </c>
      <c r="P212" s="167">
        <f>O212*O183*T180</f>
        <v>0.1694</v>
      </c>
      <c r="Q212" s="925">
        <f>1*P212</f>
        <v>0.1694</v>
      </c>
      <c r="R212" s="869">
        <f aca="true" t="shared" si="139" ref="R212:W212">$P212*R182/1000</f>
        <v>0.13551999999999997</v>
      </c>
      <c r="S212" s="869">
        <f t="shared" si="139"/>
        <v>0.1694</v>
      </c>
      <c r="T212" s="869">
        <f t="shared" si="139"/>
        <v>0.20328</v>
      </c>
      <c r="U212" s="869">
        <f t="shared" si="139"/>
        <v>0.23716</v>
      </c>
      <c r="V212" s="869">
        <f t="shared" si="139"/>
        <v>0.27103999999999995</v>
      </c>
      <c r="W212" s="869">
        <f t="shared" si="139"/>
        <v>0.22869</v>
      </c>
    </row>
    <row r="213" spans="1:23" ht="12" customHeight="1">
      <c r="A213" s="191"/>
      <c r="B213" s="879" t="s">
        <v>312</v>
      </c>
      <c r="C213" s="220"/>
      <c r="D213" s="221"/>
      <c r="E213" s="908">
        <f aca="true" t="shared" si="140" ref="E213:K213">SUM(E205:E212)</f>
        <v>104.33000000000001</v>
      </c>
      <c r="F213" s="908">
        <f t="shared" si="140"/>
        <v>104.33000000000001</v>
      </c>
      <c r="G213" s="909">
        <f t="shared" si="140"/>
        <v>104.33000000000001</v>
      </c>
      <c r="H213" s="908">
        <f t="shared" si="140"/>
        <v>104.33000000000001</v>
      </c>
      <c r="I213" s="910">
        <f t="shared" si="140"/>
        <v>104.33000000000001</v>
      </c>
      <c r="J213" s="908">
        <f t="shared" si="140"/>
        <v>104.33000000000001</v>
      </c>
      <c r="K213" s="908">
        <f t="shared" si="140"/>
        <v>104.33000000000001</v>
      </c>
      <c r="M213" s="191"/>
      <c r="N213" s="791" t="s">
        <v>829</v>
      </c>
      <c r="O213" s="926">
        <f aca="true" t="shared" si="141" ref="O213:W213">SUM(O210:O212)</f>
        <v>1.10121</v>
      </c>
      <c r="P213" s="167">
        <f t="shared" si="141"/>
        <v>26.1694</v>
      </c>
      <c r="Q213" s="167">
        <f t="shared" si="141"/>
        <v>26.1694</v>
      </c>
      <c r="R213" s="923">
        <f t="shared" si="141"/>
        <v>20.935519999999997</v>
      </c>
      <c r="S213" s="923">
        <f t="shared" si="141"/>
        <v>26.1694</v>
      </c>
      <c r="T213" s="923">
        <f t="shared" si="141"/>
        <v>31.403280000000002</v>
      </c>
      <c r="U213" s="923">
        <f t="shared" si="141"/>
        <v>36.63716000000001</v>
      </c>
      <c r="V213" s="923">
        <f t="shared" si="141"/>
        <v>41.871039999999994</v>
      </c>
      <c r="W213" s="923">
        <f t="shared" si="141"/>
        <v>35.328689999999995</v>
      </c>
    </row>
    <row r="214" spans="1:21" ht="12" customHeight="1">
      <c r="A214" s="191"/>
      <c r="B214" s="927"/>
      <c r="C214" s="220"/>
      <c r="D214" s="221"/>
      <c r="E214" s="928"/>
      <c r="F214" s="928"/>
      <c r="G214" s="928"/>
      <c r="H214" s="928"/>
      <c r="I214" s="929"/>
      <c r="J214" s="928"/>
      <c r="K214" s="928"/>
      <c r="M214" s="191"/>
      <c r="N214" s="180"/>
      <c r="O214" s="756"/>
      <c r="P214" s="171"/>
      <c r="Q214" s="898"/>
      <c r="R214" s="898"/>
      <c r="S214" s="898"/>
      <c r="T214" s="898"/>
      <c r="U214" s="898"/>
    </row>
    <row r="215" spans="1:23" ht="12" customHeight="1">
      <c r="A215" s="191"/>
      <c r="B215" s="879" t="s">
        <v>313</v>
      </c>
      <c r="C215" s="220"/>
      <c r="D215" s="221"/>
      <c r="E215" s="908"/>
      <c r="F215" s="908">
        <f aca="true" t="shared" si="142" ref="F215:K215">F202+F213</f>
        <v>288.20000000000005</v>
      </c>
      <c r="G215" s="909">
        <f t="shared" si="142"/>
        <v>288.20000000000005</v>
      </c>
      <c r="H215" s="908">
        <f t="shared" si="142"/>
        <v>288.20000000000005</v>
      </c>
      <c r="I215" s="910">
        <f t="shared" si="142"/>
        <v>288.20000000000005</v>
      </c>
      <c r="J215" s="908">
        <f t="shared" si="142"/>
        <v>288.20000000000005</v>
      </c>
      <c r="K215" s="908">
        <f t="shared" si="142"/>
        <v>288.20000000000005</v>
      </c>
      <c r="M215" s="191"/>
      <c r="N215" s="176" t="s">
        <v>342</v>
      </c>
      <c r="O215" s="256"/>
      <c r="P215" s="256"/>
      <c r="R215" s="869">
        <f aca="true" t="shared" si="143" ref="R215:W215">R213+R207</f>
        <v>160.14952</v>
      </c>
      <c r="S215" s="869">
        <f t="shared" si="143"/>
        <v>165.3834</v>
      </c>
      <c r="T215" s="869">
        <f t="shared" si="143"/>
        <v>170.61728</v>
      </c>
      <c r="U215" s="869">
        <f t="shared" si="143"/>
        <v>175.85116</v>
      </c>
      <c r="V215" s="869">
        <f t="shared" si="143"/>
        <v>181.08504</v>
      </c>
      <c r="W215" s="869">
        <f t="shared" si="143"/>
        <v>174.54269</v>
      </c>
    </row>
    <row r="216" spans="1:23" ht="12" customHeight="1" thickBot="1">
      <c r="A216" s="191"/>
      <c r="B216" s="930"/>
      <c r="C216" s="220"/>
      <c r="D216" s="221"/>
      <c r="E216" s="928"/>
      <c r="F216" s="928"/>
      <c r="G216" s="928"/>
      <c r="H216" s="931"/>
      <c r="I216" s="932"/>
      <c r="J216" s="928"/>
      <c r="K216" s="928"/>
      <c r="M216" s="191"/>
      <c r="N216" s="933" t="s">
        <v>922</v>
      </c>
      <c r="O216" s="256"/>
      <c r="P216" s="256"/>
      <c r="R216" s="923">
        <f aca="true" t="shared" si="144" ref="R216:W216">R184-R215</f>
        <v>-48.149519999999995</v>
      </c>
      <c r="S216" s="923">
        <f t="shared" si="144"/>
        <v>-25.383399999999995</v>
      </c>
      <c r="T216" s="923">
        <f t="shared" si="144"/>
        <v>-2.617279999999994</v>
      </c>
      <c r="U216" s="923">
        <f t="shared" si="144"/>
        <v>20.148840000000007</v>
      </c>
      <c r="V216" s="923">
        <f t="shared" si="144"/>
        <v>42.91496000000001</v>
      </c>
      <c r="W216" s="923">
        <f t="shared" si="144"/>
        <v>14.457310000000007</v>
      </c>
    </row>
    <row r="217" spans="1:19" ht="12" customHeight="1" thickBot="1">
      <c r="A217" s="191"/>
      <c r="B217" s="879" t="s">
        <v>314</v>
      </c>
      <c r="C217" s="220"/>
      <c r="D217" s="221"/>
      <c r="E217" s="934"/>
      <c r="F217" s="1152" t="s">
        <v>912</v>
      </c>
      <c r="G217" s="1153"/>
      <c r="H217" s="1153"/>
      <c r="I217" s="1153"/>
      <c r="J217" s="1153"/>
      <c r="K217" s="1154"/>
      <c r="M217" s="191"/>
      <c r="N217" s="935" t="s">
        <v>923</v>
      </c>
      <c r="O217" s="936">
        <f>R207/(O183-P213)*1000</f>
        <v>1222.9927629301787</v>
      </c>
      <c r="P217" s="937"/>
      <c r="R217" s="65"/>
      <c r="S217" s="65"/>
    </row>
    <row r="218" spans="1:23" ht="12" customHeight="1" thickBot="1">
      <c r="A218" s="191"/>
      <c r="B218" s="917" t="s">
        <v>377</v>
      </c>
      <c r="C218" s="892">
        <v>70</v>
      </c>
      <c r="D218" s="165">
        <f>1*C218</f>
        <v>70</v>
      </c>
      <c r="E218" s="892">
        <f>D218*1</f>
        <v>70</v>
      </c>
      <c r="F218" s="892">
        <f aca="true" t="shared" si="145" ref="F218:K218">F182*$C218/1000</f>
        <v>91</v>
      </c>
      <c r="G218" s="895">
        <f t="shared" si="145"/>
        <v>105</v>
      </c>
      <c r="H218" s="892">
        <f t="shared" si="145"/>
        <v>122.5</v>
      </c>
      <c r="I218" s="892">
        <f t="shared" si="145"/>
        <v>140</v>
      </c>
      <c r="J218" s="892">
        <f t="shared" si="145"/>
        <v>161</v>
      </c>
      <c r="K218" s="892">
        <f t="shared" si="145"/>
        <v>126</v>
      </c>
      <c r="M218" s="191"/>
      <c r="N218" s="260" t="s">
        <v>924</v>
      </c>
      <c r="O218" s="178"/>
      <c r="P218" s="178"/>
      <c r="Q218" s="938"/>
      <c r="R218" s="939">
        <f>(R207+$P$211*R182/1000)/((R182/1000-(R182/1000*($O$210+$O$212))))</f>
        <v>206.96436319941253</v>
      </c>
      <c r="S218" s="939">
        <f>(S207+$P$211*S182/1000)/((S182/1000-S182/1000*($O$210+$O$212)))</f>
        <v>168.24174723795326</v>
      </c>
      <c r="T218" s="939">
        <f>(T207+$P$211*T182/1000)/((T182/1000-T182/1000*($O$210+$O$212)))</f>
        <v>142.42666993031372</v>
      </c>
      <c r="U218" s="939">
        <f>(U207+$P$211*U182/1000)/((U182/1000-U182/1000*($O$210+$O$212)))</f>
        <v>123.9873289962855</v>
      </c>
      <c r="V218" s="939">
        <f>(V207+$P$211*V182/1000)/((V182/1000-V182/1000*($O$210+$O$212)))</f>
        <v>110.1578232957643</v>
      </c>
      <c r="W218" s="939">
        <f>(W207+$P$211*W182/1000)/((W182/1000-W182/1000*($O$210+$O$212)))</f>
        <v>128.0849603149584</v>
      </c>
    </row>
    <row r="219" spans="1:21" ht="12" customHeight="1">
      <c r="A219" s="191"/>
      <c r="B219" s="234" t="s">
        <v>315</v>
      </c>
      <c r="C219" s="892">
        <v>18</v>
      </c>
      <c r="D219" s="165">
        <f>1*C219</f>
        <v>18</v>
      </c>
      <c r="E219" s="892">
        <f>D219*1</f>
        <v>18</v>
      </c>
      <c r="F219" s="892">
        <f aca="true" t="shared" si="146" ref="F219:K219">F182*$C219/1000</f>
        <v>23.4</v>
      </c>
      <c r="G219" s="895">
        <f t="shared" si="146"/>
        <v>27</v>
      </c>
      <c r="H219" s="892">
        <f t="shared" si="146"/>
        <v>31.5</v>
      </c>
      <c r="I219" s="892">
        <f t="shared" si="146"/>
        <v>36</v>
      </c>
      <c r="J219" s="892">
        <f t="shared" si="146"/>
        <v>41.4</v>
      </c>
      <c r="K219" s="892">
        <f t="shared" si="146"/>
        <v>32.4</v>
      </c>
      <c r="M219" s="191"/>
      <c r="N219" s="180"/>
      <c r="O219" s="180"/>
      <c r="P219" s="180"/>
      <c r="Q219" s="180"/>
      <c r="R219" s="180"/>
      <c r="S219" s="180"/>
      <c r="T219" s="180"/>
      <c r="U219" s="180"/>
    </row>
    <row r="220" spans="1:21" ht="12" customHeight="1">
      <c r="A220" s="191"/>
      <c r="B220" s="885" t="s">
        <v>316</v>
      </c>
      <c r="C220" s="940"/>
      <c r="D220" s="941"/>
      <c r="E220" s="940"/>
      <c r="F220" s="940"/>
      <c r="G220" s="940"/>
      <c r="H220" s="940"/>
      <c r="I220" s="942"/>
      <c r="J220" s="940"/>
      <c r="K220" s="940"/>
      <c r="M220" s="191"/>
      <c r="N220" s="776" t="s">
        <v>521</v>
      </c>
      <c r="O220" s="180"/>
      <c r="P220" s="180"/>
      <c r="Q220" s="180"/>
      <c r="R220" s="180"/>
      <c r="S220" s="180"/>
      <c r="T220" s="180"/>
      <c r="U220" s="180"/>
    </row>
    <row r="221" spans="1:21" ht="12" customHeight="1">
      <c r="A221" s="191"/>
      <c r="B221" s="174" t="s">
        <v>520</v>
      </c>
      <c r="C221" s="943">
        <v>0.00121</v>
      </c>
      <c r="D221" s="747">
        <f>C221*C184*G180</f>
        <v>0.236555</v>
      </c>
      <c r="E221" s="892">
        <f>D221*1</f>
        <v>0.236555</v>
      </c>
      <c r="F221" s="892">
        <f aca="true" t="shared" si="147" ref="F221:K221">F182*$D221/1000</f>
        <v>0.3075215</v>
      </c>
      <c r="G221" s="895">
        <f t="shared" si="147"/>
        <v>0.3548325</v>
      </c>
      <c r="H221" s="892">
        <f t="shared" si="147"/>
        <v>0.41397125</v>
      </c>
      <c r="I221" s="892">
        <f t="shared" si="147"/>
        <v>0.47311</v>
      </c>
      <c r="J221" s="892">
        <f t="shared" si="147"/>
        <v>0.5440765</v>
      </c>
      <c r="K221" s="892">
        <f t="shared" si="147"/>
        <v>0.425799</v>
      </c>
      <c r="M221" s="191"/>
      <c r="N221" s="180"/>
      <c r="O221" s="180"/>
      <c r="P221" s="180"/>
      <c r="Q221" s="180"/>
      <c r="R221" s="180"/>
      <c r="S221" s="180"/>
      <c r="T221" s="180"/>
      <c r="U221" s="180"/>
    </row>
    <row r="222" spans="1:21" ht="12" customHeight="1">
      <c r="A222" s="191"/>
      <c r="B222" s="285" t="s">
        <v>317</v>
      </c>
      <c r="C222" s="943">
        <v>0.015</v>
      </c>
      <c r="D222" s="747">
        <f>C222*C184*G180</f>
        <v>2.9324999999999997</v>
      </c>
      <c r="E222" s="892">
        <f>D222*1</f>
        <v>2.9324999999999997</v>
      </c>
      <c r="F222" s="892">
        <f aca="true" t="shared" si="148" ref="F222:K222">F182*$D222/1000</f>
        <v>3.8122499999999997</v>
      </c>
      <c r="G222" s="895">
        <f t="shared" si="148"/>
        <v>4.398749999999999</v>
      </c>
      <c r="H222" s="892">
        <f t="shared" si="148"/>
        <v>5.131874999999999</v>
      </c>
      <c r="I222" s="892">
        <f t="shared" si="148"/>
        <v>5.864999999999999</v>
      </c>
      <c r="J222" s="892">
        <f t="shared" si="148"/>
        <v>6.744749999999999</v>
      </c>
      <c r="K222" s="892">
        <f t="shared" si="148"/>
        <v>5.278499999999999</v>
      </c>
      <c r="M222" s="191"/>
      <c r="N222" s="180"/>
      <c r="O222" s="180"/>
      <c r="P222" s="180"/>
      <c r="Q222" s="180"/>
      <c r="R222" s="180"/>
      <c r="S222" s="180"/>
      <c r="T222" s="180"/>
      <c r="U222" s="180"/>
    </row>
    <row r="223" spans="1:21" ht="12" customHeight="1">
      <c r="A223" s="191"/>
      <c r="B223" s="879" t="s">
        <v>323</v>
      </c>
      <c r="C223" s="908"/>
      <c r="D223" s="944">
        <f>SUM(D218:D222)</f>
        <v>91.169055</v>
      </c>
      <c r="E223" s="908">
        <f aca="true" t="shared" si="149" ref="E223:K223">SUM(E218:E222)</f>
        <v>91.169055</v>
      </c>
      <c r="F223" s="908">
        <f t="shared" si="149"/>
        <v>118.51977150000002</v>
      </c>
      <c r="G223" s="909">
        <f t="shared" si="149"/>
        <v>136.7535825</v>
      </c>
      <c r="H223" s="908">
        <f t="shared" si="149"/>
        <v>159.54584625</v>
      </c>
      <c r="I223" s="910">
        <f t="shared" si="149"/>
        <v>182.33811</v>
      </c>
      <c r="J223" s="908">
        <f t="shared" si="149"/>
        <v>209.6888265</v>
      </c>
      <c r="K223" s="908">
        <f t="shared" si="149"/>
        <v>164.10429900000003</v>
      </c>
      <c r="M223" s="191"/>
      <c r="N223" s="180"/>
      <c r="O223" s="180"/>
      <c r="P223" s="180"/>
      <c r="Q223" s="180"/>
      <c r="R223" s="180"/>
      <c r="S223" s="180"/>
      <c r="T223" s="180"/>
      <c r="U223" s="180"/>
    </row>
    <row r="224" spans="1:21" ht="12" customHeight="1">
      <c r="A224" s="191"/>
      <c r="F224" s="65"/>
      <c r="G224" s="65"/>
      <c r="I224" s="157"/>
      <c r="M224" s="191"/>
      <c r="N224" s="180"/>
      <c r="O224" s="180"/>
      <c r="P224" s="180"/>
      <c r="Q224" s="180"/>
      <c r="R224" s="180"/>
      <c r="S224" s="180"/>
      <c r="T224" s="180"/>
      <c r="U224" s="180"/>
    </row>
    <row r="225" spans="1:21" ht="12" customHeight="1">
      <c r="A225" s="191"/>
      <c r="B225" s="945"/>
      <c r="C225" s="220"/>
      <c r="D225" s="946"/>
      <c r="E225" s="940"/>
      <c r="F225" s="940"/>
      <c r="G225" s="940"/>
      <c r="H225" s="940"/>
      <c r="I225" s="942"/>
      <c r="J225" s="940"/>
      <c r="K225" s="940"/>
      <c r="M225" s="191"/>
      <c r="N225" s="180"/>
      <c r="O225" s="180"/>
      <c r="P225" s="180"/>
      <c r="Q225" s="180"/>
      <c r="R225" s="180"/>
      <c r="S225" s="180"/>
      <c r="T225" s="180"/>
      <c r="U225" s="180"/>
    </row>
    <row r="226" spans="1:21" ht="12" customHeight="1">
      <c r="A226" s="191"/>
      <c r="B226" s="329" t="s">
        <v>324</v>
      </c>
      <c r="C226" s="220"/>
      <c r="D226" s="221"/>
      <c r="E226" s="892"/>
      <c r="F226" s="892">
        <f aca="true" t="shared" si="150" ref="F226:K226">F215+F223</f>
        <v>406.7197715000001</v>
      </c>
      <c r="G226" s="895">
        <f t="shared" si="150"/>
        <v>424.95358250000004</v>
      </c>
      <c r="H226" s="892">
        <f t="shared" si="150"/>
        <v>447.74584625000006</v>
      </c>
      <c r="I226" s="905">
        <f t="shared" si="150"/>
        <v>470.5381100000001</v>
      </c>
      <c r="J226" s="892">
        <f t="shared" si="150"/>
        <v>497.88882650000005</v>
      </c>
      <c r="K226" s="892">
        <f t="shared" si="150"/>
        <v>452.30429900000007</v>
      </c>
      <c r="M226" s="191"/>
      <c r="N226" s="180"/>
      <c r="O226" s="180"/>
      <c r="P226" s="180"/>
      <c r="Q226" s="180"/>
      <c r="R226" s="180"/>
      <c r="S226" s="180"/>
      <c r="T226" s="180"/>
      <c r="U226" s="180"/>
    </row>
    <row r="227" spans="1:21" ht="12" customHeight="1" thickBot="1">
      <c r="A227" s="191"/>
      <c r="B227" s="947" t="s">
        <v>325</v>
      </c>
      <c r="C227" s="948"/>
      <c r="D227" s="949"/>
      <c r="E227" s="950"/>
      <c r="F227" s="950">
        <f aca="true" t="shared" si="151" ref="F227:K227">F185-F226</f>
        <v>-152.5697715000001</v>
      </c>
      <c r="G227" s="951">
        <f t="shared" si="151"/>
        <v>-131.70358250000004</v>
      </c>
      <c r="H227" s="950">
        <f t="shared" si="151"/>
        <v>-105.62084625000006</v>
      </c>
      <c r="I227" s="952">
        <f t="shared" si="151"/>
        <v>-79.53811000000007</v>
      </c>
      <c r="J227" s="950">
        <f t="shared" si="151"/>
        <v>-48.23882650000007</v>
      </c>
      <c r="K227" s="950">
        <f t="shared" si="151"/>
        <v>-100.4042990000001</v>
      </c>
      <c r="M227" s="191"/>
      <c r="N227" s="180"/>
      <c r="O227" s="180"/>
      <c r="P227" s="180"/>
      <c r="Q227" s="180"/>
      <c r="R227" s="180"/>
      <c r="S227" s="180"/>
      <c r="T227" s="180"/>
      <c r="U227" s="180"/>
    </row>
    <row r="228" spans="1:21" ht="12" customHeight="1" thickBot="1">
      <c r="A228" s="191"/>
      <c r="B228" s="935" t="s">
        <v>923</v>
      </c>
      <c r="C228" s="936">
        <f>F215/(C184*G180-D223)*1000</f>
        <v>2762.363553785505</v>
      </c>
      <c r="D228" s="937"/>
      <c r="F228" s="65"/>
      <c r="G228" s="65"/>
      <c r="M228" s="191"/>
      <c r="N228" s="180"/>
      <c r="O228" s="180"/>
      <c r="P228" s="180"/>
      <c r="Q228" s="180"/>
      <c r="R228" s="180"/>
      <c r="S228" s="180"/>
      <c r="T228" s="180"/>
      <c r="U228" s="180"/>
    </row>
    <row r="229" spans="2:21" ht="12" customHeight="1" thickBot="1">
      <c r="B229" s="260" t="s">
        <v>924</v>
      </c>
      <c r="C229" s="178"/>
      <c r="D229" s="178"/>
      <c r="E229" s="938"/>
      <c r="F229" s="953">
        <f aca="true" t="shared" si="152" ref="F229:K229">(F215+$C$219*F182/1000+$C$218*F182/1000)/((F182/1000-F182/1000*($C$221+$C$222)))/$G$180</f>
        <v>370.3472198362607</v>
      </c>
      <c r="G229" s="953">
        <f t="shared" si="152"/>
        <v>334.9989606023445</v>
      </c>
      <c r="H229" s="953">
        <f t="shared" si="152"/>
        <v>302.17557702799354</v>
      </c>
      <c r="I229" s="953">
        <f t="shared" si="152"/>
        <v>277.5580393472304</v>
      </c>
      <c r="J229" s="953">
        <f t="shared" si="152"/>
        <v>255.0811571169684</v>
      </c>
      <c r="K229" s="953">
        <f t="shared" si="152"/>
        <v>296.70501309893507</v>
      </c>
      <c r="M229" s="191"/>
      <c r="N229" s="180"/>
      <c r="O229" s="180"/>
      <c r="P229" s="180"/>
      <c r="Q229" s="180"/>
      <c r="R229" s="180"/>
      <c r="S229" s="180"/>
      <c r="T229" s="180"/>
      <c r="U229" s="180"/>
    </row>
    <row r="230" spans="2:21" ht="12" customHeight="1">
      <c r="B230" s="776" t="s">
        <v>521</v>
      </c>
      <c r="C230" s="356"/>
      <c r="D230" s="356"/>
      <c r="E230" s="954"/>
      <c r="F230" s="955"/>
      <c r="G230" s="955"/>
      <c r="H230" s="956"/>
      <c r="I230" s="956"/>
      <c r="J230" s="956"/>
      <c r="K230" s="956"/>
      <c r="M230" s="191"/>
      <c r="N230" s="180"/>
      <c r="O230" s="180"/>
      <c r="P230" s="180"/>
      <c r="Q230" s="180"/>
      <c r="R230" s="180"/>
      <c r="S230" s="180"/>
      <c r="T230" s="180"/>
      <c r="U230" s="180"/>
    </row>
    <row r="231" spans="1:21" ht="12.75">
      <c r="A231" s="779"/>
      <c r="B231" s="779"/>
      <c r="C231" s="779"/>
      <c r="D231" s="779"/>
      <c r="E231" s="779"/>
      <c r="F231" s="779"/>
      <c r="G231" s="779"/>
      <c r="H231" s="779"/>
      <c r="I231" s="779"/>
      <c r="J231" s="779"/>
      <c r="K231" s="779"/>
      <c r="L231" s="779"/>
      <c r="M231" s="777"/>
      <c r="N231" s="957"/>
      <c r="O231" s="957"/>
      <c r="P231" s="957"/>
      <c r="Q231" s="957"/>
      <c r="R231" s="957"/>
      <c r="S231" s="180"/>
      <c r="T231" s="180"/>
      <c r="U231" s="180"/>
    </row>
    <row r="232" spans="1:23" ht="15.75">
      <c r="A232" s="1131" t="s">
        <v>525</v>
      </c>
      <c r="B232" s="1131"/>
      <c r="C232" s="1131"/>
      <c r="D232" s="1131"/>
      <c r="E232" s="1131"/>
      <c r="F232" s="1131"/>
      <c r="G232" s="1131"/>
      <c r="H232" s="1131"/>
      <c r="I232" s="1131"/>
      <c r="J232" s="1131"/>
      <c r="K232" s="1131"/>
      <c r="M232" s="1131" t="s">
        <v>523</v>
      </c>
      <c r="N232" s="1131"/>
      <c r="O232" s="1131"/>
      <c r="P232" s="1131"/>
      <c r="Q232" s="1131"/>
      <c r="R232" s="1131"/>
      <c r="S232" s="1131"/>
      <c r="T232" s="1131"/>
      <c r="U232" s="1131"/>
      <c r="V232" s="1131"/>
      <c r="W232" s="1131"/>
    </row>
    <row r="233" spans="1:15" ht="12.75">
      <c r="A233" s="191"/>
      <c r="B233" s="57" t="s">
        <v>833</v>
      </c>
      <c r="C233" s="958" t="s">
        <v>374</v>
      </c>
      <c r="I233" s="438"/>
      <c r="M233" s="191"/>
      <c r="N233" s="57" t="s">
        <v>833</v>
      </c>
      <c r="O233" s="959" t="s">
        <v>509</v>
      </c>
    </row>
    <row r="234" spans="1:20" ht="12.75">
      <c r="A234" s="191"/>
      <c r="B234" s="57" t="s">
        <v>899</v>
      </c>
      <c r="C234" s="707">
        <v>80</v>
      </c>
      <c r="I234" s="438"/>
      <c r="M234" s="191"/>
      <c r="N234" s="57" t="s">
        <v>899</v>
      </c>
      <c r="O234" s="158">
        <v>80</v>
      </c>
      <c r="S234" s="25" t="s">
        <v>328</v>
      </c>
      <c r="T234" s="20">
        <v>0.9</v>
      </c>
    </row>
    <row r="235" spans="1:23" ht="13.5" thickBot="1">
      <c r="A235" s="191"/>
      <c r="F235" t="s">
        <v>518</v>
      </c>
      <c r="G235" s="20">
        <v>0.8</v>
      </c>
      <c r="I235" s="438"/>
      <c r="M235" s="191"/>
      <c r="N235" s="853" t="s">
        <v>901</v>
      </c>
      <c r="O235" s="854" t="s">
        <v>902</v>
      </c>
      <c r="R235" s="1144" t="s">
        <v>332</v>
      </c>
      <c r="S235" s="1144"/>
      <c r="T235" s="1144"/>
      <c r="U235" s="1144"/>
      <c r="V235" s="1145"/>
      <c r="W235" s="159" t="s">
        <v>904</v>
      </c>
    </row>
    <row r="236" spans="2:23" ht="13.5" thickBot="1">
      <c r="B236" s="853" t="s">
        <v>901</v>
      </c>
      <c r="C236" s="854" t="s">
        <v>902</v>
      </c>
      <c r="D236" s="853" t="s">
        <v>331</v>
      </c>
      <c r="F236" s="1162" t="s">
        <v>332</v>
      </c>
      <c r="G236" s="1163"/>
      <c r="H236" s="1163"/>
      <c r="I236" s="1163"/>
      <c r="J236" s="1164"/>
      <c r="K236" s="712" t="s">
        <v>904</v>
      </c>
      <c r="M236" s="191"/>
      <c r="N236" s="204"/>
      <c r="O236" s="206" t="s">
        <v>905</v>
      </c>
      <c r="R236" s="865">
        <v>4000</v>
      </c>
      <c r="S236" s="865">
        <v>4250</v>
      </c>
      <c r="T236" s="865">
        <v>4500</v>
      </c>
      <c r="U236" s="865">
        <v>4750</v>
      </c>
      <c r="V236" s="865">
        <v>5000</v>
      </c>
      <c r="W236" s="159">
        <v>4658</v>
      </c>
    </row>
    <row r="237" spans="2:22" ht="12.75">
      <c r="B237" s="713"/>
      <c r="C237" s="206" t="s">
        <v>905</v>
      </c>
      <c r="D237" s="960"/>
      <c r="E237" s="961"/>
      <c r="F237" s="210">
        <v>3500</v>
      </c>
      <c r="G237" s="818">
        <v>3800</v>
      </c>
      <c r="H237" s="961">
        <v>4000</v>
      </c>
      <c r="I237" s="961">
        <v>4250</v>
      </c>
      <c r="J237" s="209">
        <v>4750</v>
      </c>
      <c r="K237" s="159">
        <v>3592</v>
      </c>
      <c r="M237" s="191"/>
      <c r="N237" s="180" t="s">
        <v>333</v>
      </c>
      <c r="O237" s="962">
        <v>140</v>
      </c>
      <c r="P237" s="870"/>
      <c r="R237" s="870"/>
      <c r="S237" s="870"/>
      <c r="T237" s="870"/>
      <c r="U237" s="870"/>
      <c r="V237" s="871"/>
    </row>
    <row r="238" spans="2:23" ht="12.75">
      <c r="B238" s="180" t="s">
        <v>333</v>
      </c>
      <c r="C238" s="212">
        <v>70</v>
      </c>
      <c r="D238" s="870"/>
      <c r="E238" s="870"/>
      <c r="F238" s="963"/>
      <c r="G238" s="963"/>
      <c r="H238" s="870"/>
      <c r="I238" s="871"/>
      <c r="M238" s="191"/>
      <c r="N238" s="874" t="s">
        <v>907</v>
      </c>
      <c r="O238" s="921"/>
      <c r="P238" s="171"/>
      <c r="R238" s="875">
        <f aca="true" t="shared" si="153" ref="R238:W238">$O237*R236*$T234/1000</f>
        <v>504</v>
      </c>
      <c r="S238" s="875">
        <f t="shared" si="153"/>
        <v>535.5</v>
      </c>
      <c r="T238" s="875">
        <f t="shared" si="153"/>
        <v>567</v>
      </c>
      <c r="U238" s="875">
        <f t="shared" si="153"/>
        <v>598.5</v>
      </c>
      <c r="V238" s="875">
        <f t="shared" si="153"/>
        <v>630</v>
      </c>
      <c r="W238" s="875">
        <f t="shared" si="153"/>
        <v>586.908</v>
      </c>
    </row>
    <row r="239" spans="2:21" ht="12.75">
      <c r="B239" s="874" t="s">
        <v>907</v>
      </c>
      <c r="C239" s="218"/>
      <c r="D239" s="171"/>
      <c r="E239" s="923"/>
      <c r="F239" s="964">
        <f aca="true" t="shared" si="154" ref="F239:K239">$C$238*F237*$G235/1000</f>
        <v>196</v>
      </c>
      <c r="G239" s="964">
        <f t="shared" si="154"/>
        <v>212.8</v>
      </c>
      <c r="H239" s="964">
        <f t="shared" si="154"/>
        <v>224</v>
      </c>
      <c r="I239" s="964">
        <f t="shared" si="154"/>
        <v>238</v>
      </c>
      <c r="J239" s="964">
        <f t="shared" si="154"/>
        <v>266</v>
      </c>
      <c r="K239" s="964">
        <f t="shared" si="154"/>
        <v>201.152</v>
      </c>
      <c r="M239" s="191"/>
      <c r="N239" s="874" t="s">
        <v>908</v>
      </c>
      <c r="O239" s="220"/>
      <c r="P239" s="221"/>
      <c r="Q239" s="218"/>
      <c r="R239" s="218"/>
      <c r="S239" s="218"/>
      <c r="T239" s="218"/>
      <c r="U239" s="218"/>
    </row>
    <row r="240" spans="2:21" ht="13.5" thickBot="1">
      <c r="B240" s="874" t="s">
        <v>908</v>
      </c>
      <c r="C240" s="220"/>
      <c r="D240" s="221"/>
      <c r="E240" s="218"/>
      <c r="F240" s="218"/>
      <c r="G240" s="218"/>
      <c r="H240" s="218"/>
      <c r="I240" s="218"/>
      <c r="M240" s="191"/>
      <c r="N240" s="965" t="s">
        <v>909</v>
      </c>
      <c r="O240" s="869">
        <v>14</v>
      </c>
      <c r="P240" s="221"/>
      <c r="Q240" s="881"/>
      <c r="R240" s="881"/>
      <c r="S240" s="881"/>
      <c r="T240" s="881"/>
      <c r="U240" s="881"/>
    </row>
    <row r="241" spans="2:23" ht="13.5" thickBot="1">
      <c r="B241" s="880" t="s">
        <v>909</v>
      </c>
      <c r="C241" s="164">
        <v>14</v>
      </c>
      <c r="D241" s="221"/>
      <c r="E241" s="881"/>
      <c r="F241" s="881"/>
      <c r="G241" s="881"/>
      <c r="H241" s="881"/>
      <c r="I241" s="881"/>
      <c r="M241" s="155" t="s">
        <v>512</v>
      </c>
      <c r="N241" s="885"/>
      <c r="O241" s="886" t="s">
        <v>974</v>
      </c>
      <c r="P241" s="219" t="s">
        <v>910</v>
      </c>
      <c r="Q241" s="727" t="s">
        <v>911</v>
      </c>
      <c r="R241" s="1135" t="s">
        <v>912</v>
      </c>
      <c r="S241" s="1136"/>
      <c r="T241" s="1136"/>
      <c r="U241" s="1136"/>
      <c r="V241" s="1136"/>
      <c r="W241" s="1137"/>
    </row>
    <row r="242" spans="1:23" ht="13.5" thickBot="1">
      <c r="A242" s="155" t="s">
        <v>512</v>
      </c>
      <c r="B242" s="885"/>
      <c r="C242" s="886" t="s">
        <v>974</v>
      </c>
      <c r="D242" s="219" t="s">
        <v>910</v>
      </c>
      <c r="E242" s="727" t="s">
        <v>911</v>
      </c>
      <c r="F242" s="1135" t="s">
        <v>912</v>
      </c>
      <c r="G242" s="1136"/>
      <c r="H242" s="1136"/>
      <c r="I242" s="1136"/>
      <c r="J242" s="1136"/>
      <c r="K242" s="1137"/>
      <c r="M242" s="225">
        <v>1</v>
      </c>
      <c r="N242" s="784" t="str">
        <f aca="true" t="shared" si="155" ref="N242:N247">IF($M242&lt;&gt;0,VLOOKUP($M242,equi,2),"")</f>
        <v>Arado de  Rejas  ( 1º pasada )</v>
      </c>
      <c r="O242" s="889">
        <v>1</v>
      </c>
      <c r="P242" s="235">
        <f aca="true" t="shared" si="156" ref="P242:P247">IF($M242&lt;&gt;0,VLOOKUP($M242,equi,3),"")</f>
        <v>1</v>
      </c>
      <c r="Q242" s="869">
        <f aca="true" t="shared" si="157" ref="Q242:Q247">$O$240*P242</f>
        <v>14</v>
      </c>
      <c r="R242" s="890">
        <f aca="true" t="shared" si="158" ref="R242:W247">$Q242*$O242</f>
        <v>14</v>
      </c>
      <c r="S242" s="890">
        <f t="shared" si="158"/>
        <v>14</v>
      </c>
      <c r="T242" s="890">
        <f t="shared" si="158"/>
        <v>14</v>
      </c>
      <c r="U242" s="890">
        <f t="shared" si="158"/>
        <v>14</v>
      </c>
      <c r="V242" s="890">
        <f t="shared" si="158"/>
        <v>14</v>
      </c>
      <c r="W242" s="890">
        <f t="shared" si="158"/>
        <v>14</v>
      </c>
    </row>
    <row r="243" spans="1:23" ht="12.75">
      <c r="A243" s="225">
        <v>8</v>
      </c>
      <c r="B243" s="784" t="str">
        <f aca="true" t="shared" si="159" ref="B243:B250">IF($A243&lt;&gt;0,VLOOKUP($A243,equi,2),"")</f>
        <v>Cincel  ( 2º  Pasada )</v>
      </c>
      <c r="C243" s="891">
        <v>1</v>
      </c>
      <c r="D243" s="235">
        <f aca="true" t="shared" si="160" ref="D243:D250">IF($A243&lt;&gt;0,VLOOKUP($A243,equi,3),"")</f>
        <v>0.8</v>
      </c>
      <c r="E243" s="164">
        <f aca="true" t="shared" si="161" ref="E243:E250">D243*$C$241</f>
        <v>11.200000000000001</v>
      </c>
      <c r="F243" s="966">
        <f aca="true" t="shared" si="162" ref="F243:K250">$E243*$C243</f>
        <v>11.200000000000001</v>
      </c>
      <c r="G243" s="967">
        <f t="shared" si="162"/>
        <v>11.200000000000001</v>
      </c>
      <c r="H243" s="968">
        <f t="shared" si="162"/>
        <v>11.200000000000001</v>
      </c>
      <c r="I243" s="968">
        <f t="shared" si="162"/>
        <v>11.200000000000001</v>
      </c>
      <c r="J243" s="968">
        <f t="shared" si="162"/>
        <v>11.200000000000001</v>
      </c>
      <c r="K243" s="968">
        <f t="shared" si="162"/>
        <v>11.200000000000001</v>
      </c>
      <c r="M243" s="225">
        <v>5</v>
      </c>
      <c r="N243" s="784" t="str">
        <f t="shared" si="155"/>
        <v>Disco Doble Acción</v>
      </c>
      <c r="O243" s="889">
        <v>2</v>
      </c>
      <c r="P243" s="235">
        <f t="shared" si="156"/>
        <v>0.5</v>
      </c>
      <c r="Q243" s="869">
        <f t="shared" si="157"/>
        <v>7</v>
      </c>
      <c r="R243" s="869">
        <f t="shared" si="158"/>
        <v>14</v>
      </c>
      <c r="S243" s="869">
        <f t="shared" si="158"/>
        <v>14</v>
      </c>
      <c r="T243" s="869">
        <f t="shared" si="158"/>
        <v>14</v>
      </c>
      <c r="U243" s="869">
        <f t="shared" si="158"/>
        <v>14</v>
      </c>
      <c r="V243" s="869">
        <f t="shared" si="158"/>
        <v>14</v>
      </c>
      <c r="W243" s="869">
        <f t="shared" si="158"/>
        <v>14</v>
      </c>
    </row>
    <row r="244" spans="1:23" ht="12.75">
      <c r="A244" s="225">
        <v>6</v>
      </c>
      <c r="B244" s="784" t="str">
        <f t="shared" si="159"/>
        <v>Disco Doble Acción más Rastra de Dientes</v>
      </c>
      <c r="C244" s="891">
        <v>2.2</v>
      </c>
      <c r="D244" s="235">
        <f t="shared" si="160"/>
        <v>0.65</v>
      </c>
      <c r="E244" s="164">
        <f t="shared" si="161"/>
        <v>9.1</v>
      </c>
      <c r="F244" s="276">
        <f t="shared" si="162"/>
        <v>20.02</v>
      </c>
      <c r="G244" s="969">
        <f t="shared" si="162"/>
        <v>20.02</v>
      </c>
      <c r="H244" s="970">
        <f t="shared" si="162"/>
        <v>20.02</v>
      </c>
      <c r="I244" s="970">
        <f t="shared" si="162"/>
        <v>20.02</v>
      </c>
      <c r="J244" s="970">
        <f t="shared" si="162"/>
        <v>20.02</v>
      </c>
      <c r="K244" s="970">
        <f t="shared" si="162"/>
        <v>20.02</v>
      </c>
      <c r="M244" s="225">
        <v>25</v>
      </c>
      <c r="N244" s="784" t="str">
        <f t="shared" si="155"/>
        <v>Rolo Desterronador - Compactador</v>
      </c>
      <c r="O244" s="889">
        <v>1</v>
      </c>
      <c r="P244" s="235">
        <f t="shared" si="156"/>
        <v>0.3</v>
      </c>
      <c r="Q244" s="869">
        <f t="shared" si="157"/>
        <v>4.2</v>
      </c>
      <c r="R244" s="869">
        <f t="shared" si="158"/>
        <v>4.2</v>
      </c>
      <c r="S244" s="869">
        <f t="shared" si="158"/>
        <v>4.2</v>
      </c>
      <c r="T244" s="869">
        <f t="shared" si="158"/>
        <v>4.2</v>
      </c>
      <c r="U244" s="869">
        <f t="shared" si="158"/>
        <v>4.2</v>
      </c>
      <c r="V244" s="869">
        <f t="shared" si="158"/>
        <v>4.2</v>
      </c>
      <c r="W244" s="869">
        <f t="shared" si="158"/>
        <v>4.2</v>
      </c>
    </row>
    <row r="245" spans="1:23" ht="12.75">
      <c r="A245" s="225">
        <v>11</v>
      </c>
      <c r="B245" s="784" t="str">
        <f t="shared" si="159"/>
        <v>Cultivador de Campo</v>
      </c>
      <c r="C245" s="891">
        <v>1</v>
      </c>
      <c r="D245" s="235">
        <f t="shared" si="160"/>
        <v>0.45</v>
      </c>
      <c r="E245" s="164">
        <f t="shared" si="161"/>
        <v>6.3</v>
      </c>
      <c r="F245" s="276">
        <f t="shared" si="162"/>
        <v>6.3</v>
      </c>
      <c r="G245" s="969">
        <f t="shared" si="162"/>
        <v>6.3</v>
      </c>
      <c r="H245" s="970">
        <f t="shared" si="162"/>
        <v>6.3</v>
      </c>
      <c r="I245" s="970">
        <f t="shared" si="162"/>
        <v>6.3</v>
      </c>
      <c r="J245" s="970">
        <f t="shared" si="162"/>
        <v>6.3</v>
      </c>
      <c r="K245" s="970">
        <f t="shared" si="162"/>
        <v>6.3</v>
      </c>
      <c r="M245" s="225">
        <v>13</v>
      </c>
      <c r="N245" s="784" t="str">
        <f t="shared" si="155"/>
        <v>Rastra de Dientes</v>
      </c>
      <c r="O245" s="889">
        <v>1</v>
      </c>
      <c r="P245" s="235">
        <f t="shared" si="156"/>
        <v>0.25</v>
      </c>
      <c r="Q245" s="869">
        <f t="shared" si="157"/>
        <v>3.5</v>
      </c>
      <c r="R245" s="869">
        <f t="shared" si="158"/>
        <v>3.5</v>
      </c>
      <c r="S245" s="869">
        <f t="shared" si="158"/>
        <v>3.5</v>
      </c>
      <c r="T245" s="869">
        <f t="shared" si="158"/>
        <v>3.5</v>
      </c>
      <c r="U245" s="869">
        <f t="shared" si="158"/>
        <v>3.5</v>
      </c>
      <c r="V245" s="869">
        <f t="shared" si="158"/>
        <v>3.5</v>
      </c>
      <c r="W245" s="869">
        <f t="shared" si="158"/>
        <v>3.5</v>
      </c>
    </row>
    <row r="246" spans="1:23" ht="12.75">
      <c r="A246" s="225">
        <v>13</v>
      </c>
      <c r="B246" s="784" t="str">
        <f t="shared" si="159"/>
        <v>Rastra de Dientes</v>
      </c>
      <c r="C246" s="891">
        <v>1</v>
      </c>
      <c r="D246" s="235">
        <f t="shared" si="160"/>
        <v>0.25</v>
      </c>
      <c r="E246" s="164">
        <f t="shared" si="161"/>
        <v>3.5</v>
      </c>
      <c r="F246" s="276">
        <f t="shared" si="162"/>
        <v>3.5</v>
      </c>
      <c r="G246" s="969">
        <f t="shared" si="162"/>
        <v>3.5</v>
      </c>
      <c r="H246" s="970">
        <f t="shared" si="162"/>
        <v>3.5</v>
      </c>
      <c r="I246" s="970">
        <f t="shared" si="162"/>
        <v>3.5</v>
      </c>
      <c r="J246" s="970">
        <f t="shared" si="162"/>
        <v>3.5</v>
      </c>
      <c r="K246" s="970">
        <f t="shared" si="162"/>
        <v>3.5</v>
      </c>
      <c r="M246" s="896">
        <v>16</v>
      </c>
      <c r="N246" s="784" t="str">
        <f t="shared" si="155"/>
        <v>Siembra Gruesa Convencional</v>
      </c>
      <c r="O246" s="889">
        <v>2</v>
      </c>
      <c r="P246" s="235">
        <f t="shared" si="156"/>
        <v>0.45</v>
      </c>
      <c r="Q246" s="869">
        <f t="shared" si="157"/>
        <v>6.3</v>
      </c>
      <c r="R246" s="869">
        <f t="shared" si="158"/>
        <v>12.6</v>
      </c>
      <c r="S246" s="869">
        <f t="shared" si="158"/>
        <v>12.6</v>
      </c>
      <c r="T246" s="869">
        <f t="shared" si="158"/>
        <v>12.6</v>
      </c>
      <c r="U246" s="869">
        <f t="shared" si="158"/>
        <v>12.6</v>
      </c>
      <c r="V246" s="869">
        <f t="shared" si="158"/>
        <v>12.6</v>
      </c>
      <c r="W246" s="869">
        <f t="shared" si="158"/>
        <v>12.6</v>
      </c>
    </row>
    <row r="247" spans="1:23" ht="12.75">
      <c r="A247" s="225">
        <v>16</v>
      </c>
      <c r="B247" s="784" t="str">
        <f t="shared" si="159"/>
        <v>Siembra Gruesa Convencional</v>
      </c>
      <c r="C247" s="891">
        <v>1.2</v>
      </c>
      <c r="D247" s="235">
        <f t="shared" si="160"/>
        <v>0.45</v>
      </c>
      <c r="E247" s="164">
        <f t="shared" si="161"/>
        <v>6.3</v>
      </c>
      <c r="F247" s="276">
        <f t="shared" si="162"/>
        <v>7.56</v>
      </c>
      <c r="G247" s="969">
        <f t="shared" si="162"/>
        <v>7.56</v>
      </c>
      <c r="H247" s="970">
        <f t="shared" si="162"/>
        <v>7.56</v>
      </c>
      <c r="I247" s="970">
        <f t="shared" si="162"/>
        <v>7.56</v>
      </c>
      <c r="J247" s="970">
        <f t="shared" si="162"/>
        <v>7.56</v>
      </c>
      <c r="K247" s="970">
        <f t="shared" si="162"/>
        <v>7.56</v>
      </c>
      <c r="M247" s="896">
        <v>30</v>
      </c>
      <c r="N247" s="784" t="str">
        <f t="shared" si="155"/>
        <v>Aplicacion Fertilizante con avión</v>
      </c>
      <c r="O247" s="889">
        <v>2</v>
      </c>
      <c r="P247" s="235">
        <f t="shared" si="156"/>
        <v>0.4</v>
      </c>
      <c r="Q247" s="869">
        <f t="shared" si="157"/>
        <v>5.6000000000000005</v>
      </c>
      <c r="R247" s="869">
        <f t="shared" si="158"/>
        <v>11.200000000000001</v>
      </c>
      <c r="S247" s="869">
        <f t="shared" si="158"/>
        <v>11.200000000000001</v>
      </c>
      <c r="T247" s="869">
        <f t="shared" si="158"/>
        <v>11.200000000000001</v>
      </c>
      <c r="U247" s="869">
        <f t="shared" si="158"/>
        <v>11.200000000000001</v>
      </c>
      <c r="V247" s="869">
        <f t="shared" si="158"/>
        <v>11.200000000000001</v>
      </c>
      <c r="W247" s="869">
        <f t="shared" si="158"/>
        <v>11.200000000000001</v>
      </c>
    </row>
    <row r="248" spans="1:23" ht="12.75">
      <c r="A248" s="225">
        <v>20</v>
      </c>
      <c r="B248" s="784" t="str">
        <f t="shared" si="159"/>
        <v>Escardillo</v>
      </c>
      <c r="C248" s="891">
        <v>2</v>
      </c>
      <c r="D248" s="235">
        <f t="shared" si="160"/>
        <v>0.4</v>
      </c>
      <c r="E248" s="164">
        <f t="shared" si="161"/>
        <v>5.6000000000000005</v>
      </c>
      <c r="F248" s="276">
        <f t="shared" si="162"/>
        <v>11.200000000000001</v>
      </c>
      <c r="G248" s="969">
        <f t="shared" si="162"/>
        <v>11.200000000000001</v>
      </c>
      <c r="H248" s="970">
        <f t="shared" si="162"/>
        <v>11.200000000000001</v>
      </c>
      <c r="I248" s="970">
        <f t="shared" si="162"/>
        <v>11.200000000000001</v>
      </c>
      <c r="J248" s="970">
        <f t="shared" si="162"/>
        <v>11.200000000000001</v>
      </c>
      <c r="K248" s="970">
        <f t="shared" si="162"/>
        <v>11.200000000000001</v>
      </c>
      <c r="M248" s="901"/>
      <c r="N248" s="166" t="s">
        <v>913</v>
      </c>
      <c r="O248" s="343"/>
      <c r="P248" s="343"/>
      <c r="Q248" s="343"/>
      <c r="R248" s="971">
        <f aca="true" t="shared" si="163" ref="R248:W248">SUM(R242:R247)</f>
        <v>59.50000000000001</v>
      </c>
      <c r="S248" s="971">
        <f t="shared" si="163"/>
        <v>59.50000000000001</v>
      </c>
      <c r="T248" s="971">
        <f t="shared" si="163"/>
        <v>59.50000000000001</v>
      </c>
      <c r="U248" s="971">
        <f t="shared" si="163"/>
        <v>59.50000000000001</v>
      </c>
      <c r="V248" s="971">
        <f t="shared" si="163"/>
        <v>59.50000000000001</v>
      </c>
      <c r="W248" s="971">
        <f t="shared" si="163"/>
        <v>59.50000000000001</v>
      </c>
    </row>
    <row r="249" spans="1:13" ht="13.5" thickBot="1">
      <c r="A249" s="225">
        <v>23</v>
      </c>
      <c r="B249" s="784" t="str">
        <f t="shared" si="159"/>
        <v>Pulverización Terrestre p/Insecticidas</v>
      </c>
      <c r="C249" s="972">
        <v>1</v>
      </c>
      <c r="D249" s="235">
        <f t="shared" si="160"/>
        <v>0.3</v>
      </c>
      <c r="E249" s="164">
        <f t="shared" si="161"/>
        <v>4.2</v>
      </c>
      <c r="F249" s="276">
        <f t="shared" si="162"/>
        <v>4.2</v>
      </c>
      <c r="G249" s="969">
        <f t="shared" si="162"/>
        <v>4.2</v>
      </c>
      <c r="H249" s="970">
        <f t="shared" si="162"/>
        <v>4.2</v>
      </c>
      <c r="I249" s="970">
        <f t="shared" si="162"/>
        <v>4.2</v>
      </c>
      <c r="J249" s="970">
        <f t="shared" si="162"/>
        <v>4.2</v>
      </c>
      <c r="K249" s="970">
        <f t="shared" si="162"/>
        <v>4.2</v>
      </c>
      <c r="M249" s="901"/>
    </row>
    <row r="250" spans="1:23" ht="13.5" thickBot="1">
      <c r="A250" s="225">
        <v>22</v>
      </c>
      <c r="B250" s="784" t="str">
        <f t="shared" si="159"/>
        <v>Pulverización Terrestre p/Herbicidas y Defoliantes</v>
      </c>
      <c r="C250" s="972">
        <v>1</v>
      </c>
      <c r="D250" s="235">
        <f t="shared" si="160"/>
        <v>0.25</v>
      </c>
      <c r="E250" s="164">
        <f t="shared" si="161"/>
        <v>3.5</v>
      </c>
      <c r="F250" s="276">
        <f t="shared" si="162"/>
        <v>3.5</v>
      </c>
      <c r="G250" s="969">
        <f t="shared" si="162"/>
        <v>3.5</v>
      </c>
      <c r="H250" s="970">
        <f t="shared" si="162"/>
        <v>3.5</v>
      </c>
      <c r="I250" s="970">
        <f t="shared" si="162"/>
        <v>3.5</v>
      </c>
      <c r="J250" s="970">
        <f t="shared" si="162"/>
        <v>3.5</v>
      </c>
      <c r="K250" s="970">
        <f t="shared" si="162"/>
        <v>3.5</v>
      </c>
      <c r="M250" s="901"/>
      <c r="N250" s="162"/>
      <c r="O250" s="166" t="s">
        <v>817</v>
      </c>
      <c r="P250" s="219" t="s">
        <v>915</v>
      </c>
      <c r="Q250" s="735" t="s">
        <v>916</v>
      </c>
      <c r="R250" s="1152" t="s">
        <v>912</v>
      </c>
      <c r="S250" s="1153"/>
      <c r="T250" s="1153"/>
      <c r="U250" s="1153"/>
      <c r="V250" s="1153"/>
      <c r="W250" s="1154"/>
    </row>
    <row r="251" spans="2:23" ht="12.75">
      <c r="B251" s="166" t="s">
        <v>913</v>
      </c>
      <c r="C251" s="236"/>
      <c r="D251" s="973"/>
      <c r="E251" s="219">
        <f aca="true" t="shared" si="164" ref="E251:K251">SUM(E243:E250)</f>
        <v>49.7</v>
      </c>
      <c r="F251" s="264">
        <f t="shared" si="164"/>
        <v>67.48</v>
      </c>
      <c r="G251" s="722">
        <f t="shared" si="164"/>
        <v>67.48</v>
      </c>
      <c r="H251" s="219">
        <f t="shared" si="164"/>
        <v>67.48</v>
      </c>
      <c r="I251" s="219">
        <f t="shared" si="164"/>
        <v>67.48</v>
      </c>
      <c r="J251" s="219">
        <f t="shared" si="164"/>
        <v>67.48</v>
      </c>
      <c r="K251" s="219">
        <f t="shared" si="164"/>
        <v>67.48</v>
      </c>
      <c r="M251" s="906"/>
      <c r="N251" s="162" t="s">
        <v>504</v>
      </c>
      <c r="O251" s="907">
        <v>190</v>
      </c>
      <c r="P251" s="164">
        <f>60/190</f>
        <v>0.3157894736842105</v>
      </c>
      <c r="Q251" s="869">
        <f>1*P251</f>
        <v>0.3157894736842105</v>
      </c>
      <c r="R251" s="890">
        <f aca="true" t="shared" si="165" ref="R251:W257">$P251*$O251</f>
        <v>60</v>
      </c>
      <c r="S251" s="890">
        <f t="shared" si="165"/>
        <v>60</v>
      </c>
      <c r="T251" s="890">
        <f t="shared" si="165"/>
        <v>60</v>
      </c>
      <c r="U251" s="890">
        <f t="shared" si="165"/>
        <v>60</v>
      </c>
      <c r="V251" s="890">
        <f t="shared" si="165"/>
        <v>60</v>
      </c>
      <c r="W251" s="890">
        <f t="shared" si="165"/>
        <v>60</v>
      </c>
    </row>
    <row r="252" spans="2:23" ht="12.75">
      <c r="B252" s="162"/>
      <c r="C252" s="241"/>
      <c r="D252" s="974"/>
      <c r="E252" s="975"/>
      <c r="F252" s="976"/>
      <c r="G252" s="975"/>
      <c r="H252" s="975"/>
      <c r="I252" s="975"/>
      <c r="J252" s="975"/>
      <c r="K252" s="975"/>
      <c r="N252" s="162" t="s">
        <v>820</v>
      </c>
      <c r="O252" s="163">
        <v>1.8</v>
      </c>
      <c r="P252" s="164">
        <v>5.7</v>
      </c>
      <c r="Q252" s="869">
        <f aca="true" t="shared" si="166" ref="Q252:Q257">1*P252</f>
        <v>5.7</v>
      </c>
      <c r="R252" s="869">
        <f t="shared" si="165"/>
        <v>10.26</v>
      </c>
      <c r="S252" s="869">
        <f t="shared" si="165"/>
        <v>10.26</v>
      </c>
      <c r="T252" s="869">
        <f t="shared" si="165"/>
        <v>10.26</v>
      </c>
      <c r="U252" s="869">
        <f t="shared" si="165"/>
        <v>10.26</v>
      </c>
      <c r="V252" s="869">
        <f t="shared" si="165"/>
        <v>10.26</v>
      </c>
      <c r="W252" s="869">
        <f t="shared" si="165"/>
        <v>10.26</v>
      </c>
    </row>
    <row r="253" spans="2:23" ht="12.75">
      <c r="B253" s="162" t="s">
        <v>334</v>
      </c>
      <c r="C253" s="164">
        <v>2.25</v>
      </c>
      <c r="D253" s="899">
        <v>15</v>
      </c>
      <c r="E253" s="164">
        <f aca="true" t="shared" si="167" ref="E253:K255">$D253*$C253</f>
        <v>33.75</v>
      </c>
      <c r="F253" s="276">
        <f t="shared" si="167"/>
        <v>33.75</v>
      </c>
      <c r="G253" s="969">
        <f t="shared" si="167"/>
        <v>33.75</v>
      </c>
      <c r="H253" s="164">
        <f t="shared" si="167"/>
        <v>33.75</v>
      </c>
      <c r="I253" s="164">
        <f t="shared" si="167"/>
        <v>33.75</v>
      </c>
      <c r="J253" s="164">
        <f t="shared" si="167"/>
        <v>33.75</v>
      </c>
      <c r="K253" s="164">
        <f t="shared" si="167"/>
        <v>33.75</v>
      </c>
      <c r="M253" s="906"/>
      <c r="N253" s="162" t="s">
        <v>505</v>
      </c>
      <c r="O253" s="163">
        <v>0.1</v>
      </c>
      <c r="P253" s="164">
        <v>39.8</v>
      </c>
      <c r="Q253" s="869">
        <f t="shared" si="166"/>
        <v>39.8</v>
      </c>
      <c r="R253" s="869">
        <f t="shared" si="165"/>
        <v>3.98</v>
      </c>
      <c r="S253" s="869">
        <f t="shared" si="165"/>
        <v>3.98</v>
      </c>
      <c r="T253" s="869">
        <f t="shared" si="165"/>
        <v>3.98</v>
      </c>
      <c r="U253" s="869">
        <f t="shared" si="165"/>
        <v>3.98</v>
      </c>
      <c r="V253" s="869">
        <f t="shared" si="165"/>
        <v>3.98</v>
      </c>
      <c r="W253" s="869">
        <f t="shared" si="165"/>
        <v>3.98</v>
      </c>
    </row>
    <row r="254" spans="2:23" ht="12.75">
      <c r="B254" s="162" t="s">
        <v>335</v>
      </c>
      <c r="C254" s="164">
        <v>17</v>
      </c>
      <c r="D254" s="899">
        <v>0.12</v>
      </c>
      <c r="E254" s="164">
        <f t="shared" si="167"/>
        <v>2.04</v>
      </c>
      <c r="F254" s="276">
        <f t="shared" si="167"/>
        <v>2.04</v>
      </c>
      <c r="G254" s="969">
        <f t="shared" si="167"/>
        <v>2.04</v>
      </c>
      <c r="H254" s="164">
        <f t="shared" si="167"/>
        <v>2.04</v>
      </c>
      <c r="I254" s="164">
        <f t="shared" si="167"/>
        <v>2.04</v>
      </c>
      <c r="J254" s="164">
        <f t="shared" si="167"/>
        <v>2.04</v>
      </c>
      <c r="K254" s="164">
        <f t="shared" si="167"/>
        <v>2.04</v>
      </c>
      <c r="M254" s="977"/>
      <c r="N254" s="162" t="s">
        <v>821</v>
      </c>
      <c r="O254" s="163">
        <v>0.06</v>
      </c>
      <c r="P254" s="164">
        <v>12</v>
      </c>
      <c r="Q254" s="869">
        <f t="shared" si="166"/>
        <v>12</v>
      </c>
      <c r="R254" s="869">
        <f t="shared" si="165"/>
        <v>0.72</v>
      </c>
      <c r="S254" s="869">
        <f t="shared" si="165"/>
        <v>0.72</v>
      </c>
      <c r="T254" s="869">
        <f t="shared" si="165"/>
        <v>0.72</v>
      </c>
      <c r="U254" s="869">
        <f t="shared" si="165"/>
        <v>0.72</v>
      </c>
      <c r="V254" s="869">
        <f t="shared" si="165"/>
        <v>0.72</v>
      </c>
      <c r="W254" s="869">
        <f t="shared" si="165"/>
        <v>0.72</v>
      </c>
    </row>
    <row r="255" spans="2:23" ht="12.75">
      <c r="B255" s="162" t="s">
        <v>336</v>
      </c>
      <c r="C255" s="164">
        <v>4.1</v>
      </c>
      <c r="D255" s="978">
        <v>3</v>
      </c>
      <c r="E255" s="164">
        <f t="shared" si="167"/>
        <v>12.299999999999999</v>
      </c>
      <c r="F255" s="276">
        <f t="shared" si="167"/>
        <v>12.299999999999999</v>
      </c>
      <c r="G255" s="969">
        <f t="shared" si="167"/>
        <v>12.299999999999999</v>
      </c>
      <c r="H255" s="164">
        <f t="shared" si="167"/>
        <v>12.299999999999999</v>
      </c>
      <c r="I255" s="164">
        <f t="shared" si="167"/>
        <v>12.299999999999999</v>
      </c>
      <c r="J255" s="164">
        <f t="shared" si="167"/>
        <v>12.299999999999999</v>
      </c>
      <c r="K255" s="164">
        <f t="shared" si="167"/>
        <v>12.299999999999999</v>
      </c>
      <c r="M255" s="191"/>
      <c r="N255" s="33" t="s">
        <v>506</v>
      </c>
      <c r="O255" s="163">
        <v>80</v>
      </c>
      <c r="P255" s="164">
        <v>0.31</v>
      </c>
      <c r="Q255" s="869">
        <f t="shared" si="166"/>
        <v>0.31</v>
      </c>
      <c r="R255" s="869">
        <f t="shared" si="165"/>
        <v>24.8</v>
      </c>
      <c r="S255" s="869">
        <f t="shared" si="165"/>
        <v>24.8</v>
      </c>
      <c r="T255" s="869">
        <f t="shared" si="165"/>
        <v>24.8</v>
      </c>
      <c r="U255" s="869">
        <f t="shared" si="165"/>
        <v>24.8</v>
      </c>
      <c r="V255" s="869">
        <f t="shared" si="165"/>
        <v>24.8</v>
      </c>
      <c r="W255" s="869">
        <f t="shared" si="165"/>
        <v>24.8</v>
      </c>
    </row>
    <row r="256" spans="2:23" ht="12.75">
      <c r="B256" s="166" t="s">
        <v>823</v>
      </c>
      <c r="C256" s="171"/>
      <c r="D256" s="171"/>
      <c r="E256" s="219">
        <f aca="true" t="shared" si="168" ref="E256:K256">SUM(E253:E255)</f>
        <v>48.089999999999996</v>
      </c>
      <c r="F256" s="264">
        <f t="shared" si="168"/>
        <v>48.089999999999996</v>
      </c>
      <c r="G256" s="722">
        <f t="shared" si="168"/>
        <v>48.089999999999996</v>
      </c>
      <c r="H256" s="219">
        <f t="shared" si="168"/>
        <v>48.089999999999996</v>
      </c>
      <c r="I256" s="219">
        <f t="shared" si="168"/>
        <v>48.089999999999996</v>
      </c>
      <c r="J256" s="219">
        <f t="shared" si="168"/>
        <v>48.089999999999996</v>
      </c>
      <c r="K256" s="219">
        <f t="shared" si="168"/>
        <v>48.089999999999996</v>
      </c>
      <c r="M256" s="191"/>
      <c r="N256" s="33" t="s">
        <v>507</v>
      </c>
      <c r="O256" s="163">
        <v>50</v>
      </c>
      <c r="P256" s="164">
        <v>0.21</v>
      </c>
      <c r="Q256" s="869">
        <f t="shared" si="166"/>
        <v>0.21</v>
      </c>
      <c r="R256" s="869">
        <f t="shared" si="165"/>
        <v>10.5</v>
      </c>
      <c r="S256" s="869">
        <f t="shared" si="165"/>
        <v>10.5</v>
      </c>
      <c r="T256" s="869">
        <f t="shared" si="165"/>
        <v>10.5</v>
      </c>
      <c r="U256" s="869">
        <f t="shared" si="165"/>
        <v>10.5</v>
      </c>
      <c r="V256" s="869">
        <f t="shared" si="165"/>
        <v>10.5</v>
      </c>
      <c r="W256" s="869">
        <f t="shared" si="165"/>
        <v>10.5</v>
      </c>
    </row>
    <row r="257" spans="2:23" ht="12.75">
      <c r="B257" s="180"/>
      <c r="C257" s="171"/>
      <c r="D257" s="171"/>
      <c r="E257" s="975"/>
      <c r="F257" s="976"/>
      <c r="G257" s="979"/>
      <c r="H257" s="975"/>
      <c r="I257" s="975"/>
      <c r="J257" s="975"/>
      <c r="K257" s="975"/>
      <c r="M257" s="191"/>
      <c r="N257" s="33" t="s">
        <v>517</v>
      </c>
      <c r="O257" s="324">
        <v>100</v>
      </c>
      <c r="P257" s="164">
        <v>0.51</v>
      </c>
      <c r="Q257" s="869">
        <f t="shared" si="166"/>
        <v>0.51</v>
      </c>
      <c r="R257" s="869">
        <f t="shared" si="165"/>
        <v>51</v>
      </c>
      <c r="S257" s="869">
        <f t="shared" si="165"/>
        <v>51</v>
      </c>
      <c r="T257" s="869">
        <f t="shared" si="165"/>
        <v>51</v>
      </c>
      <c r="U257" s="869">
        <f t="shared" si="165"/>
        <v>51</v>
      </c>
      <c r="V257" s="869">
        <f t="shared" si="165"/>
        <v>51</v>
      </c>
      <c r="W257" s="869">
        <f t="shared" si="165"/>
        <v>51</v>
      </c>
    </row>
    <row r="258" spans="2:23" ht="13.5" thickBot="1">
      <c r="B258" s="166" t="s">
        <v>918</v>
      </c>
      <c r="C258" s="180"/>
      <c r="D258" s="180"/>
      <c r="E258" s="219"/>
      <c r="F258" s="264">
        <f aca="true" t="shared" si="169" ref="F258:K258">F251+F256</f>
        <v>115.57</v>
      </c>
      <c r="G258" s="722">
        <f t="shared" si="169"/>
        <v>115.57</v>
      </c>
      <c r="H258" s="219">
        <f t="shared" si="169"/>
        <v>115.57</v>
      </c>
      <c r="I258" s="219">
        <f t="shared" si="169"/>
        <v>115.57</v>
      </c>
      <c r="J258" s="219">
        <f t="shared" si="169"/>
        <v>115.57</v>
      </c>
      <c r="K258" s="219">
        <f t="shared" si="169"/>
        <v>115.57</v>
      </c>
      <c r="M258" s="191"/>
      <c r="N258" s="791" t="s">
        <v>823</v>
      </c>
      <c r="O258" s="915"/>
      <c r="P258" s="163"/>
      <c r="Q258" s="916">
        <f aca="true" t="shared" si="170" ref="Q258:W258">SUM(Q251:Q257)</f>
        <v>58.845789473684206</v>
      </c>
      <c r="R258" s="916">
        <f t="shared" si="170"/>
        <v>161.26</v>
      </c>
      <c r="S258" s="916">
        <f t="shared" si="170"/>
        <v>161.26</v>
      </c>
      <c r="T258" s="916">
        <f t="shared" si="170"/>
        <v>161.26</v>
      </c>
      <c r="U258" s="916">
        <f t="shared" si="170"/>
        <v>161.26</v>
      </c>
      <c r="V258" s="916">
        <f t="shared" si="170"/>
        <v>161.26</v>
      </c>
      <c r="W258" s="916">
        <f t="shared" si="170"/>
        <v>161.26</v>
      </c>
    </row>
    <row r="259" spans="2:23" ht="13.5" thickBot="1">
      <c r="B259" s="166" t="s">
        <v>337</v>
      </c>
      <c r="C259" s="171"/>
      <c r="D259" s="171"/>
      <c r="E259" s="975"/>
      <c r="F259" s="1135" t="s">
        <v>912</v>
      </c>
      <c r="G259" s="1136"/>
      <c r="H259" s="1136"/>
      <c r="I259" s="1136"/>
      <c r="J259" s="1136"/>
      <c r="K259" s="1137"/>
      <c r="M259" s="191"/>
      <c r="N259" s="791" t="s">
        <v>918</v>
      </c>
      <c r="O259" s="180"/>
      <c r="P259" s="180"/>
      <c r="R259" s="923">
        <f aca="true" t="shared" si="171" ref="R259:W259">R248+R258</f>
        <v>220.76</v>
      </c>
      <c r="S259" s="923">
        <f t="shared" si="171"/>
        <v>220.76</v>
      </c>
      <c r="T259" s="923">
        <f t="shared" si="171"/>
        <v>220.76</v>
      </c>
      <c r="U259" s="923">
        <f t="shared" si="171"/>
        <v>220.76</v>
      </c>
      <c r="V259" s="923">
        <f t="shared" si="171"/>
        <v>220.76</v>
      </c>
      <c r="W259" s="923">
        <f t="shared" si="171"/>
        <v>220.76</v>
      </c>
    </row>
    <row r="260" spans="2:21" ht="12.75">
      <c r="B260" s="162" t="s">
        <v>338</v>
      </c>
      <c r="C260" s="980">
        <v>0.1</v>
      </c>
      <c r="D260" s="167">
        <f>C260*C238*G235</f>
        <v>5.6000000000000005</v>
      </c>
      <c r="E260" s="981">
        <f>D260*1</f>
        <v>5.6000000000000005</v>
      </c>
      <c r="F260" s="276">
        <f aca="true" t="shared" si="172" ref="F260:K260">$D260*F237/1000</f>
        <v>19.600000000000005</v>
      </c>
      <c r="G260" s="969">
        <f t="shared" si="172"/>
        <v>21.280000000000005</v>
      </c>
      <c r="H260" s="164">
        <f t="shared" si="172"/>
        <v>22.400000000000002</v>
      </c>
      <c r="I260" s="164">
        <f t="shared" si="172"/>
        <v>23.800000000000004</v>
      </c>
      <c r="J260" s="164">
        <f t="shared" si="172"/>
        <v>26.600000000000005</v>
      </c>
      <c r="K260" s="164">
        <f t="shared" si="172"/>
        <v>20.1152</v>
      </c>
      <c r="M260" s="191"/>
      <c r="N260" s="180"/>
      <c r="O260" s="171"/>
      <c r="P260" s="171"/>
      <c r="Q260" s="898"/>
      <c r="R260" s="898"/>
      <c r="S260" s="898"/>
      <c r="T260" s="898"/>
      <c r="U260" s="898"/>
    </row>
    <row r="261" spans="2:21" ht="12.75">
      <c r="B261" s="162" t="s">
        <v>339</v>
      </c>
      <c r="C261" s="980">
        <v>1</v>
      </c>
      <c r="D261" s="167">
        <v>15</v>
      </c>
      <c r="E261" s="981">
        <f>D261*1</f>
        <v>15</v>
      </c>
      <c r="F261" s="276">
        <f aca="true" t="shared" si="173" ref="F261:K261">$D261*F237/1000</f>
        <v>52.5</v>
      </c>
      <c r="G261" s="969">
        <f t="shared" si="173"/>
        <v>57</v>
      </c>
      <c r="H261" s="164">
        <f t="shared" si="173"/>
        <v>60</v>
      </c>
      <c r="I261" s="164">
        <f t="shared" si="173"/>
        <v>63.75</v>
      </c>
      <c r="J261" s="164">
        <f t="shared" si="173"/>
        <v>71.25</v>
      </c>
      <c r="K261" s="164">
        <f t="shared" si="173"/>
        <v>53.88</v>
      </c>
      <c r="M261" s="191"/>
      <c r="N261" s="791" t="s">
        <v>337</v>
      </c>
      <c r="O261" s="171"/>
      <c r="P261" s="171"/>
      <c r="Q261" s="898"/>
      <c r="R261" s="898"/>
      <c r="S261" s="898"/>
      <c r="T261" s="898"/>
      <c r="U261" s="898"/>
    </row>
    <row r="262" spans="2:23" ht="12.75">
      <c r="B262" s="176" t="s">
        <v>340</v>
      </c>
      <c r="C262" s="982"/>
      <c r="D262" s="167"/>
      <c r="E262" s="975"/>
      <c r="F262" s="976"/>
      <c r="G262" s="979"/>
      <c r="H262" s="975"/>
      <c r="I262" s="975"/>
      <c r="J262" s="975"/>
      <c r="K262" s="975"/>
      <c r="M262" s="191"/>
      <c r="N262" s="162" t="s">
        <v>338</v>
      </c>
      <c r="O262" s="924">
        <v>0.1</v>
      </c>
      <c r="P262" s="167">
        <f>O262*O237*T234</f>
        <v>12.6</v>
      </c>
      <c r="Q262" s="925">
        <f>1*P262</f>
        <v>12.6</v>
      </c>
      <c r="R262" s="869">
        <f aca="true" t="shared" si="174" ref="R262:W262">$P262*R236/1000</f>
        <v>50.4</v>
      </c>
      <c r="S262" s="869">
        <f t="shared" si="174"/>
        <v>53.55</v>
      </c>
      <c r="T262" s="869">
        <f t="shared" si="174"/>
        <v>56.7</v>
      </c>
      <c r="U262" s="869">
        <f t="shared" si="174"/>
        <v>59.85</v>
      </c>
      <c r="V262" s="869">
        <f t="shared" si="174"/>
        <v>63</v>
      </c>
      <c r="W262" s="869">
        <f t="shared" si="174"/>
        <v>58.690799999999996</v>
      </c>
    </row>
    <row r="263" spans="2:23" ht="12.75">
      <c r="B263" s="174" t="s">
        <v>520</v>
      </c>
      <c r="C263" s="943">
        <v>0.00121</v>
      </c>
      <c r="D263" s="167">
        <f>C263*C238*G235</f>
        <v>0.06776</v>
      </c>
      <c r="E263" s="981">
        <f>D263*1</f>
        <v>0.06776</v>
      </c>
      <c r="F263" s="276">
        <f aca="true" t="shared" si="175" ref="F263:K263">$D263*F237/1000</f>
        <v>0.23716</v>
      </c>
      <c r="G263" s="969">
        <f t="shared" si="175"/>
        <v>0.257488</v>
      </c>
      <c r="H263" s="164">
        <f t="shared" si="175"/>
        <v>0.27104</v>
      </c>
      <c r="I263" s="164">
        <f t="shared" si="175"/>
        <v>0.28798</v>
      </c>
      <c r="J263" s="164">
        <f t="shared" si="175"/>
        <v>0.32186000000000003</v>
      </c>
      <c r="K263" s="164">
        <f t="shared" si="175"/>
        <v>0.24339392</v>
      </c>
      <c r="M263" s="191"/>
      <c r="N263" s="162" t="s">
        <v>508</v>
      </c>
      <c r="O263" s="924">
        <v>1</v>
      </c>
      <c r="P263" s="167">
        <v>12</v>
      </c>
      <c r="Q263" s="925">
        <f>1*P263</f>
        <v>12</v>
      </c>
      <c r="R263" s="869">
        <f aca="true" t="shared" si="176" ref="R263:W263">$P263*R236/1000</f>
        <v>48</v>
      </c>
      <c r="S263" s="869">
        <f t="shared" si="176"/>
        <v>51</v>
      </c>
      <c r="T263" s="869">
        <f t="shared" si="176"/>
        <v>54</v>
      </c>
      <c r="U263" s="869">
        <f t="shared" si="176"/>
        <v>57</v>
      </c>
      <c r="V263" s="869">
        <f t="shared" si="176"/>
        <v>60</v>
      </c>
      <c r="W263" s="869">
        <f t="shared" si="176"/>
        <v>55.896</v>
      </c>
    </row>
    <row r="264" spans="2:23" ht="12.75">
      <c r="B264" s="174" t="s">
        <v>341</v>
      </c>
      <c r="C264" s="980">
        <v>1</v>
      </c>
      <c r="D264" s="167">
        <v>0.25</v>
      </c>
      <c r="E264" s="981">
        <f>D264*1</f>
        <v>0.25</v>
      </c>
      <c r="F264" s="276">
        <f aca="true" t="shared" si="177" ref="F264:K264">$D264*F237/1000</f>
        <v>0.875</v>
      </c>
      <c r="G264" s="969">
        <f t="shared" si="177"/>
        <v>0.95</v>
      </c>
      <c r="H264" s="164">
        <f t="shared" si="177"/>
        <v>1</v>
      </c>
      <c r="I264" s="164">
        <f t="shared" si="177"/>
        <v>1.0625</v>
      </c>
      <c r="J264" s="164">
        <f t="shared" si="177"/>
        <v>1.1875</v>
      </c>
      <c r="K264" s="164">
        <f t="shared" si="177"/>
        <v>0.898</v>
      </c>
      <c r="M264" s="191"/>
      <c r="N264" s="174" t="s">
        <v>520</v>
      </c>
      <c r="O264" s="924">
        <v>0.00121</v>
      </c>
      <c r="P264" s="167">
        <f>O264*O237*T234</f>
        <v>0.15246</v>
      </c>
      <c r="Q264" s="925">
        <f>1*P264</f>
        <v>0.15246</v>
      </c>
      <c r="R264" s="869">
        <f aca="true" t="shared" si="178" ref="R264:W264">$P264*R236/1000</f>
        <v>0.60984</v>
      </c>
      <c r="S264" s="869">
        <f t="shared" si="178"/>
        <v>0.6479550000000001</v>
      </c>
      <c r="T264" s="869">
        <f t="shared" si="178"/>
        <v>0.6860700000000001</v>
      </c>
      <c r="U264" s="869">
        <f t="shared" si="178"/>
        <v>0.7241850000000001</v>
      </c>
      <c r="V264" s="869">
        <f t="shared" si="178"/>
        <v>0.7623000000000001</v>
      </c>
      <c r="W264" s="869">
        <f t="shared" si="178"/>
        <v>0.71015868</v>
      </c>
    </row>
    <row r="265" spans="2:23" ht="12.75">
      <c r="B265" s="166" t="s">
        <v>829</v>
      </c>
      <c r="C265" s="983"/>
      <c r="D265" s="739">
        <f aca="true" t="shared" si="179" ref="D265:K265">SUM(D260:D264)</f>
        <v>20.91776</v>
      </c>
      <c r="E265" s="984">
        <f t="shared" si="179"/>
        <v>20.91776</v>
      </c>
      <c r="F265" s="264">
        <f t="shared" si="179"/>
        <v>73.21216000000001</v>
      </c>
      <c r="G265" s="722">
        <f t="shared" si="179"/>
        <v>79.487488</v>
      </c>
      <c r="H265" s="219">
        <f t="shared" si="179"/>
        <v>83.67104</v>
      </c>
      <c r="I265" s="219">
        <f t="shared" si="179"/>
        <v>88.90048000000002</v>
      </c>
      <c r="J265" s="219">
        <f t="shared" si="179"/>
        <v>99.35936000000001</v>
      </c>
      <c r="K265" s="219">
        <f t="shared" si="179"/>
        <v>75.13659392000001</v>
      </c>
      <c r="M265" s="191"/>
      <c r="N265" s="791" t="s">
        <v>829</v>
      </c>
      <c r="O265" s="926">
        <f aca="true" t="shared" si="180" ref="O265:W265">SUM(O262:O264)</f>
        <v>1.10121</v>
      </c>
      <c r="P265" s="167">
        <f t="shared" si="180"/>
        <v>24.752460000000003</v>
      </c>
      <c r="Q265" s="167">
        <f t="shared" si="180"/>
        <v>24.752460000000003</v>
      </c>
      <c r="R265" s="923">
        <f t="shared" si="180"/>
        <v>99.00984000000001</v>
      </c>
      <c r="S265" s="923">
        <f t="shared" si="180"/>
        <v>105.197955</v>
      </c>
      <c r="T265" s="923">
        <f t="shared" si="180"/>
        <v>111.38607</v>
      </c>
      <c r="U265" s="923">
        <f t="shared" si="180"/>
        <v>117.574185</v>
      </c>
      <c r="V265" s="923">
        <f t="shared" si="180"/>
        <v>123.7623</v>
      </c>
      <c r="W265" s="923">
        <f t="shared" si="180"/>
        <v>115.29695868</v>
      </c>
    </row>
    <row r="266" spans="2:23" ht="15">
      <c r="B266" s="176" t="s">
        <v>342</v>
      </c>
      <c r="C266" s="256"/>
      <c r="D266" s="256"/>
      <c r="E266" s="276"/>
      <c r="F266" s="264">
        <f aca="true" t="shared" si="181" ref="F266:K266">F265+F258</f>
        <v>188.78216</v>
      </c>
      <c r="G266" s="722">
        <f t="shared" si="181"/>
        <v>195.05748799999998</v>
      </c>
      <c r="H266" s="219">
        <f t="shared" si="181"/>
        <v>199.24104</v>
      </c>
      <c r="I266" s="219">
        <f t="shared" si="181"/>
        <v>204.47048</v>
      </c>
      <c r="J266" s="219">
        <f t="shared" si="181"/>
        <v>214.92936</v>
      </c>
      <c r="K266" s="219">
        <f t="shared" si="181"/>
        <v>190.70659392</v>
      </c>
      <c r="M266" s="191"/>
      <c r="N266" s="176" t="s">
        <v>342</v>
      </c>
      <c r="O266" s="256"/>
      <c r="P266" s="256"/>
      <c r="R266" s="985">
        <f aca="true" t="shared" si="182" ref="R266:W266">R265+R259</f>
        <v>319.76984</v>
      </c>
      <c r="S266" s="985">
        <f t="shared" si="182"/>
        <v>325.95795499999997</v>
      </c>
      <c r="T266" s="985">
        <f t="shared" si="182"/>
        <v>332.14607</v>
      </c>
      <c r="U266" s="985">
        <f t="shared" si="182"/>
        <v>338.334185</v>
      </c>
      <c r="V266" s="985">
        <f t="shared" si="182"/>
        <v>344.5223</v>
      </c>
      <c r="W266" s="985">
        <f t="shared" si="182"/>
        <v>336.05695868</v>
      </c>
    </row>
    <row r="267" spans="2:23" ht="15">
      <c r="B267" s="176" t="s">
        <v>922</v>
      </c>
      <c r="C267" s="256"/>
      <c r="D267" s="256"/>
      <c r="E267" s="219"/>
      <c r="F267" s="264">
        <f aca="true" t="shared" si="183" ref="F267:K267">F239-F266</f>
        <v>7.217839999999995</v>
      </c>
      <c r="G267" s="722">
        <f t="shared" si="183"/>
        <v>17.742512000000033</v>
      </c>
      <c r="H267" s="219">
        <f t="shared" si="183"/>
        <v>24.758960000000002</v>
      </c>
      <c r="I267" s="219">
        <f t="shared" si="183"/>
        <v>33.52951999999999</v>
      </c>
      <c r="J267" s="219">
        <f t="shared" si="183"/>
        <v>51.07064</v>
      </c>
      <c r="K267" s="219">
        <f t="shared" si="183"/>
        <v>10.445406079999998</v>
      </c>
      <c r="M267" s="191"/>
      <c r="N267" s="933" t="s">
        <v>922</v>
      </c>
      <c r="O267" s="256"/>
      <c r="P267" s="256"/>
      <c r="R267" s="923">
        <f aca="true" t="shared" si="184" ref="R267:W267">R238-R266</f>
        <v>184.23016</v>
      </c>
      <c r="S267" s="923">
        <f t="shared" si="184"/>
        <v>209.54204500000003</v>
      </c>
      <c r="T267" s="923">
        <f t="shared" si="184"/>
        <v>234.85393</v>
      </c>
      <c r="U267" s="923">
        <f t="shared" si="184"/>
        <v>260.165815</v>
      </c>
      <c r="V267" s="923">
        <f t="shared" si="184"/>
        <v>285.4777</v>
      </c>
      <c r="W267" s="923">
        <f t="shared" si="184"/>
        <v>250.85104132000004</v>
      </c>
    </row>
    <row r="268" spans="2:21" ht="13.5" thickBot="1">
      <c r="B268" s="201" t="s">
        <v>923</v>
      </c>
      <c r="C268" s="771">
        <f>F258/(C238*G235-D265)*1000</f>
        <v>3294.2594315528313</v>
      </c>
      <c r="D268" s="986"/>
      <c r="E268" s="987"/>
      <c r="F268" s="988"/>
      <c r="G268" s="989"/>
      <c r="H268" s="180"/>
      <c r="I268" s="180"/>
      <c r="J268" s="180"/>
      <c r="K268" s="180"/>
      <c r="M268" s="191"/>
      <c r="N268" s="990" t="s">
        <v>923</v>
      </c>
      <c r="O268" s="991">
        <f>R259/(O237*T234-Q265)*1000</f>
        <v>2180.398654624102</v>
      </c>
      <c r="P268" s="986"/>
      <c r="Q268" s="987"/>
      <c r="R268" s="992"/>
      <c r="S268" s="992"/>
      <c r="T268" s="180"/>
      <c r="U268" s="180"/>
    </row>
    <row r="269" spans="2:23" ht="13.5" thickBot="1">
      <c r="B269" s="260" t="s">
        <v>924</v>
      </c>
      <c r="C269" s="261"/>
      <c r="D269" s="261"/>
      <c r="E269" s="938"/>
      <c r="F269" s="939">
        <f aca="true" t="shared" si="185" ref="F269:K269">(F258+$D$261*F237/1000+$D$264*F237/1000)/((F237/1000-F237/1000*($C$263+$C$260)))/$G$235</f>
        <v>67.1319218059836</v>
      </c>
      <c r="G269" s="939">
        <f t="shared" si="185"/>
        <v>63.50643350328892</v>
      </c>
      <c r="H269" s="939">
        <f t="shared" si="185"/>
        <v>61.39156532671703</v>
      </c>
      <c r="I269" s="939">
        <f t="shared" si="185"/>
        <v>59.02788912937197</v>
      </c>
      <c r="J269" s="939">
        <f t="shared" si="185"/>
        <v>55.04696079700134</v>
      </c>
      <c r="K269" s="939">
        <f t="shared" si="185"/>
        <v>65.9557240418577</v>
      </c>
      <c r="M269" s="191"/>
      <c r="N269" s="993" t="s">
        <v>924</v>
      </c>
      <c r="O269" s="553"/>
      <c r="P269" s="605"/>
      <c r="Q269" s="994"/>
      <c r="R269" s="995">
        <f aca="true" t="shared" si="186" ref="R269:W269">(R259+$P$263*R236/1000)/(R236/1000-R236/1000*($O$210+$O$212))/$T$234</f>
        <v>83.06228991817393</v>
      </c>
      <c r="S269" s="995">
        <f t="shared" si="186"/>
        <v>79.04890576560919</v>
      </c>
      <c r="T269" s="995">
        <f t="shared" si="186"/>
        <v>75.48145318555164</v>
      </c>
      <c r="U269" s="995">
        <f t="shared" si="186"/>
        <v>72.28952192971069</v>
      </c>
      <c r="V269" s="995">
        <f t="shared" si="186"/>
        <v>69.41678379945384</v>
      </c>
      <c r="W269" s="995">
        <f t="shared" si="186"/>
        <v>73.42430899705133</v>
      </c>
    </row>
    <row r="270" ht="12.75">
      <c r="N270" s="157"/>
    </row>
    <row r="271" spans="2:14" ht="12.75">
      <c r="B271" s="776" t="s">
        <v>521</v>
      </c>
      <c r="N271" s="776" t="s">
        <v>521</v>
      </c>
    </row>
    <row r="273" ht="12.75">
      <c r="M273" s="191"/>
    </row>
    <row r="277" spans="2:21" ht="15">
      <c r="B277" s="387"/>
      <c r="C277" s="387"/>
      <c r="D277" s="387"/>
      <c r="E277" s="180"/>
      <c r="F277" s="180"/>
      <c r="G277" s="180"/>
      <c r="H277" s="180"/>
      <c r="I277" s="180"/>
      <c r="M277" s="191"/>
      <c r="N277" s="180"/>
      <c r="O277" s="180"/>
      <c r="P277" s="180"/>
      <c r="Q277" s="180"/>
      <c r="R277" s="180"/>
      <c r="S277" s="180"/>
      <c r="T277" s="180"/>
      <c r="U277" s="180"/>
    </row>
    <row r="278" spans="1:13" ht="12.75">
      <c r="A278" s="191"/>
      <c r="M278" s="191"/>
    </row>
    <row r="279" spans="1:13" ht="12.75">
      <c r="A279" s="191"/>
      <c r="M279" s="191"/>
    </row>
    <row r="280" spans="1:13" ht="12.75">
      <c r="A280" s="191"/>
      <c r="M280" s="191"/>
    </row>
    <row r="281" spans="1:13" ht="12.75">
      <c r="A281" s="191"/>
      <c r="M281" s="191"/>
    </row>
    <row r="282" spans="1:13" ht="12.75">
      <c r="A282" s="191"/>
      <c r="M282" s="191"/>
    </row>
    <row r="283" spans="1:13" ht="12.75">
      <c r="A283" s="191"/>
      <c r="M283" s="191"/>
    </row>
    <row r="284" spans="1:13" ht="12.75">
      <c r="A284" s="191"/>
      <c r="M284" s="191"/>
    </row>
    <row r="285" spans="1:13" ht="12.75">
      <c r="A285" s="191"/>
      <c r="M285" s="191"/>
    </row>
    <row r="286" spans="1:13" ht="12.75">
      <c r="A286" s="191"/>
      <c r="M286" s="191"/>
    </row>
    <row r="287" spans="1:13" ht="12.75">
      <c r="A287" s="191"/>
      <c r="M287" s="191"/>
    </row>
    <row r="288" spans="1:13" ht="12.75">
      <c r="A288" s="191"/>
      <c r="M288" s="191"/>
    </row>
    <row r="289" spans="1:13" ht="12.75">
      <c r="A289" s="191"/>
      <c r="M289" s="191"/>
    </row>
    <row r="290" spans="1:13" ht="12.75">
      <c r="A290" s="191"/>
      <c r="M290" s="191"/>
    </row>
    <row r="291" spans="1:13" ht="12.75">
      <c r="A291" s="191"/>
      <c r="M291" s="191"/>
    </row>
    <row r="292" spans="1:13" ht="12.75">
      <c r="A292" s="191"/>
      <c r="M292" s="191"/>
    </row>
    <row r="293" spans="1:13" ht="12.75">
      <c r="A293" s="191"/>
      <c r="M293" s="191"/>
    </row>
    <row r="335" spans="1:13" ht="12.75">
      <c r="A335" s="191"/>
      <c r="M335" s="191"/>
    </row>
    <row r="336" spans="1:13" ht="12.75">
      <c r="A336" s="191"/>
      <c r="M336" s="191"/>
    </row>
    <row r="337" spans="1:13" ht="12.75">
      <c r="A337" s="191"/>
      <c r="M337" s="191"/>
    </row>
    <row r="338" spans="1:13" ht="12.75">
      <c r="A338" s="191"/>
      <c r="M338" s="191"/>
    </row>
    <row r="339" spans="1:13" ht="12.75">
      <c r="A339" s="191"/>
      <c r="M339" s="191"/>
    </row>
    <row r="340" spans="1:13" ht="12.75">
      <c r="A340" s="191"/>
      <c r="M340" s="191"/>
    </row>
    <row r="341" spans="1:13" ht="12.75">
      <c r="A341" s="191"/>
      <c r="M341" s="191"/>
    </row>
    <row r="342" spans="1:13" ht="12.75">
      <c r="A342" s="191"/>
      <c r="M342" s="191"/>
    </row>
    <row r="343" spans="1:13" ht="12.75">
      <c r="A343" s="191"/>
      <c r="M343" s="191"/>
    </row>
    <row r="344" spans="1:13" ht="12.75">
      <c r="A344" s="191"/>
      <c r="M344" s="191"/>
    </row>
    <row r="345" spans="1:13" ht="12.75">
      <c r="A345" s="191"/>
      <c r="M345" s="191"/>
    </row>
    <row r="346" spans="1:13" ht="12.75">
      <c r="A346" s="191"/>
      <c r="M346" s="191"/>
    </row>
    <row r="347" spans="1:13" ht="12.75">
      <c r="A347" s="191"/>
      <c r="M347" s="191"/>
    </row>
    <row r="348" spans="1:13" ht="12.75">
      <c r="A348" s="191"/>
      <c r="M348" s="191"/>
    </row>
    <row r="349" spans="1:13" ht="12.75">
      <c r="A349" s="191"/>
      <c r="M349" s="191"/>
    </row>
    <row r="350" spans="1:13" ht="12.75">
      <c r="A350" s="191"/>
      <c r="M350" s="191"/>
    </row>
    <row r="351" spans="1:13" ht="12.75">
      <c r="A351" s="191"/>
      <c r="M351" s="191"/>
    </row>
    <row r="352" spans="1:13" ht="12.75">
      <c r="A352" s="191"/>
      <c r="M352" s="191"/>
    </row>
    <row r="353" spans="1:13" ht="12.75">
      <c r="A353" s="191"/>
      <c r="M353" s="191"/>
    </row>
    <row r="354" spans="1:13" ht="12.75">
      <c r="A354" s="191"/>
      <c r="M354" s="191"/>
    </row>
    <row r="355" spans="1:13" ht="12.75">
      <c r="A355" s="191"/>
      <c r="M355" s="191"/>
    </row>
    <row r="356" spans="1:13" ht="12.75">
      <c r="A356" s="191"/>
      <c r="M356" s="191"/>
    </row>
    <row r="357" spans="1:13" ht="12.75">
      <c r="A357" s="191"/>
      <c r="M357" s="191"/>
    </row>
    <row r="358" spans="1:13" ht="12.75">
      <c r="A358" s="191"/>
      <c r="M358" s="191"/>
    </row>
    <row r="359" spans="1:13" ht="12.75">
      <c r="A359" s="191"/>
      <c r="M359" s="191"/>
    </row>
    <row r="360" spans="1:13" ht="12.75">
      <c r="A360" s="191"/>
      <c r="M360" s="191"/>
    </row>
    <row r="361" spans="1:13" ht="12.75">
      <c r="A361" s="191"/>
      <c r="M361" s="191"/>
    </row>
    <row r="362" spans="1:13" ht="12.75">
      <c r="A362" s="191"/>
      <c r="M362" s="191"/>
    </row>
    <row r="363" spans="1:13" ht="12.75">
      <c r="A363" s="191"/>
      <c r="M363" s="191"/>
    </row>
    <row r="364" spans="1:13" ht="12.75">
      <c r="A364" s="191"/>
      <c r="M364" s="191"/>
    </row>
    <row r="365" spans="1:13" ht="12.75">
      <c r="A365" s="191"/>
      <c r="M365" s="191"/>
    </row>
    <row r="366" spans="1:13" ht="12.75">
      <c r="A366" s="191"/>
      <c r="M366" s="191"/>
    </row>
    <row r="367" spans="1:13" ht="12.75">
      <c r="A367" s="191"/>
      <c r="M367" s="191"/>
    </row>
    <row r="368" spans="1:13" ht="12.75">
      <c r="A368" s="191"/>
      <c r="M368" s="191"/>
    </row>
    <row r="369" spans="1:13" ht="12.75">
      <c r="A369" s="191"/>
      <c r="M369" s="191"/>
    </row>
    <row r="370" spans="1:13" ht="12.75">
      <c r="A370" s="191"/>
      <c r="M370" s="191"/>
    </row>
    <row r="371" spans="1:13" ht="12.75">
      <c r="A371" s="191"/>
      <c r="M371" s="191"/>
    </row>
    <row r="372" spans="1:13" ht="12.75">
      <c r="A372" s="191"/>
      <c r="M372" s="191"/>
    </row>
    <row r="373" spans="1:13" ht="12.75">
      <c r="A373" s="191"/>
      <c r="M373" s="191"/>
    </row>
    <row r="374" spans="1:13" ht="12.75">
      <c r="A374" s="191"/>
      <c r="M374" s="191"/>
    </row>
    <row r="375" spans="1:13" ht="12.75">
      <c r="A375" s="191"/>
      <c r="M375" s="191"/>
    </row>
    <row r="376" spans="1:13" ht="12.75">
      <c r="A376" s="191"/>
      <c r="M376" s="191"/>
    </row>
    <row r="377" spans="1:13" ht="12.75">
      <c r="A377" s="191"/>
      <c r="M377" s="191"/>
    </row>
    <row r="378" spans="1:13" ht="12.75">
      <c r="A378" s="191"/>
      <c r="M378" s="191"/>
    </row>
    <row r="379" spans="1:13" ht="12.75">
      <c r="A379" s="191"/>
      <c r="M379" s="191"/>
    </row>
    <row r="380" spans="1:13" ht="12.75">
      <c r="A380" s="191"/>
      <c r="M380" s="191"/>
    </row>
    <row r="381" spans="1:13" ht="12.75">
      <c r="A381" s="191"/>
      <c r="M381" s="191"/>
    </row>
    <row r="382" spans="1:13" ht="12.75">
      <c r="A382" s="191"/>
      <c r="M382" s="191"/>
    </row>
    <row r="383" spans="1:13" ht="12.75">
      <c r="A383" s="191"/>
      <c r="M383" s="191"/>
    </row>
    <row r="384" spans="1:13" ht="12.75">
      <c r="A384" s="191"/>
      <c r="M384" s="191"/>
    </row>
    <row r="385" spans="1:13" ht="12.75">
      <c r="A385" s="191"/>
      <c r="M385" s="191"/>
    </row>
    <row r="386" spans="1:13" ht="12.75">
      <c r="A386" s="191"/>
      <c r="M386" s="191"/>
    </row>
    <row r="387" spans="1:13" ht="12.75">
      <c r="A387" s="191"/>
      <c r="M387" s="191"/>
    </row>
    <row r="388" spans="1:13" ht="12.75">
      <c r="A388" s="191"/>
      <c r="M388" s="191"/>
    </row>
    <row r="389" spans="1:13" ht="12.75">
      <c r="A389" s="191"/>
      <c r="M389" s="191"/>
    </row>
    <row r="390" spans="1:13" ht="12.75">
      <c r="A390" s="191"/>
      <c r="M390" s="191"/>
    </row>
    <row r="391" spans="1:13" ht="12.75">
      <c r="A391" s="191"/>
      <c r="M391" s="191"/>
    </row>
    <row r="392" spans="1:13" ht="12.75">
      <c r="A392" s="191"/>
      <c r="M392" s="191"/>
    </row>
    <row r="393" spans="1:13" ht="12.75">
      <c r="A393" s="191"/>
      <c r="M393" s="191"/>
    </row>
    <row r="394" spans="1:13" ht="12.75">
      <c r="A394" s="191"/>
      <c r="M394" s="191"/>
    </row>
    <row r="395" spans="1:13" ht="12.75">
      <c r="A395" s="191"/>
      <c r="M395" s="191"/>
    </row>
    <row r="396" spans="1:13" ht="12.75">
      <c r="A396" s="191"/>
      <c r="M396" s="191"/>
    </row>
    <row r="397" spans="1:13" ht="12.75">
      <c r="A397" s="191"/>
      <c r="M397" s="191"/>
    </row>
    <row r="398" spans="1:13" ht="12.75">
      <c r="A398" s="191"/>
      <c r="M398" s="191"/>
    </row>
    <row r="399" spans="1:13" ht="12.75">
      <c r="A399" s="191"/>
      <c r="M399" s="191"/>
    </row>
    <row r="400" spans="1:13" ht="12.75">
      <c r="A400" s="191"/>
      <c r="M400" s="191"/>
    </row>
    <row r="401" spans="1:13" ht="12.75">
      <c r="A401" s="191"/>
      <c r="M401" s="191"/>
    </row>
    <row r="402" spans="1:13" ht="12.75">
      <c r="A402" s="191"/>
      <c r="M402" s="191"/>
    </row>
    <row r="403" spans="1:13" ht="12.75">
      <c r="A403" s="191"/>
      <c r="M403" s="191"/>
    </row>
    <row r="404" spans="1:13" ht="12.75">
      <c r="A404" s="191"/>
      <c r="M404" s="191"/>
    </row>
    <row r="405" spans="1:13" ht="12.75">
      <c r="A405" s="191"/>
      <c r="M405" s="191"/>
    </row>
    <row r="406" spans="1:13" ht="12.75">
      <c r="A406" s="191"/>
      <c r="M406" s="191"/>
    </row>
    <row r="407" spans="1:13" ht="12.75">
      <c r="A407" s="191"/>
      <c r="M407" s="191"/>
    </row>
    <row r="408" spans="1:13" ht="12.75">
      <c r="A408" s="191"/>
      <c r="M408" s="191"/>
    </row>
    <row r="409" spans="1:13" ht="12.75">
      <c r="A409" s="191"/>
      <c r="M409" s="191"/>
    </row>
    <row r="410" spans="1:13" ht="12.75">
      <c r="A410" s="191"/>
      <c r="M410" s="191"/>
    </row>
    <row r="411" spans="1:13" ht="12.75">
      <c r="A411" s="191"/>
      <c r="M411" s="191"/>
    </row>
    <row r="412" spans="1:13" ht="12.75">
      <c r="A412" s="191"/>
      <c r="M412" s="191"/>
    </row>
    <row r="413" spans="1:13" ht="12.75">
      <c r="A413" s="191"/>
      <c r="M413" s="191"/>
    </row>
    <row r="414" spans="1:13" ht="12.75">
      <c r="A414" s="191"/>
      <c r="M414" s="191"/>
    </row>
    <row r="415" spans="1:13" ht="12.75">
      <c r="A415" s="191"/>
      <c r="M415" s="191"/>
    </row>
    <row r="416" spans="1:13" ht="12.75">
      <c r="A416" s="191"/>
      <c r="M416" s="191"/>
    </row>
    <row r="417" spans="1:13" ht="12.75">
      <c r="A417" s="191"/>
      <c r="M417" s="191"/>
    </row>
    <row r="418" spans="1:13" ht="12.75">
      <c r="A418" s="191"/>
      <c r="M418" s="191"/>
    </row>
    <row r="419" spans="1:13" ht="12.75">
      <c r="A419" s="191"/>
      <c r="M419" s="191"/>
    </row>
    <row r="420" spans="1:13" ht="12.75">
      <c r="A420" s="191"/>
      <c r="M420" s="191"/>
    </row>
    <row r="421" spans="1:13" ht="12.75">
      <c r="A421" s="191"/>
      <c r="M421" s="191"/>
    </row>
    <row r="422" spans="1:13" ht="12.75">
      <c r="A422" s="191"/>
      <c r="M422" s="191"/>
    </row>
    <row r="423" spans="1:13" ht="12.75">
      <c r="A423" s="191"/>
      <c r="M423" s="191"/>
    </row>
    <row r="424" spans="1:13" ht="12.75">
      <c r="A424" s="191"/>
      <c r="M424" s="191"/>
    </row>
    <row r="425" spans="1:13" ht="12.75">
      <c r="A425" s="191"/>
      <c r="M425" s="191"/>
    </row>
    <row r="426" spans="1:13" ht="12.75">
      <c r="A426" s="191"/>
      <c r="M426" s="191"/>
    </row>
    <row r="427" spans="1:13" ht="12.75">
      <c r="A427" s="191"/>
      <c r="M427" s="191"/>
    </row>
    <row r="428" spans="1:13" ht="12.75">
      <c r="A428" s="191"/>
      <c r="M428" s="191"/>
    </row>
    <row r="429" spans="1:13" ht="12.75">
      <c r="A429" s="191"/>
      <c r="M429" s="191"/>
    </row>
    <row r="430" spans="1:13" ht="12.75">
      <c r="A430" s="191"/>
      <c r="M430" s="191"/>
    </row>
    <row r="431" spans="1:13" ht="12.75">
      <c r="A431" s="191"/>
      <c r="M431" s="191"/>
    </row>
    <row r="432" spans="1:13" ht="12.75">
      <c r="A432" s="191"/>
      <c r="M432" s="191"/>
    </row>
    <row r="433" spans="1:13" ht="12.75">
      <c r="A433" s="191"/>
      <c r="M433" s="191"/>
    </row>
    <row r="434" spans="1:13" ht="12.75">
      <c r="A434" s="191"/>
      <c r="M434" s="191"/>
    </row>
    <row r="435" spans="1:13" ht="12.75">
      <c r="A435" s="191"/>
      <c r="M435" s="191"/>
    </row>
    <row r="436" spans="1:13" ht="12.75">
      <c r="A436" s="191"/>
      <c r="M436" s="191"/>
    </row>
    <row r="437" spans="1:13" ht="12.75">
      <c r="A437" s="191"/>
      <c r="M437" s="191"/>
    </row>
    <row r="438" spans="1:13" ht="12.75">
      <c r="A438" s="191"/>
      <c r="M438" s="191"/>
    </row>
    <row r="439" spans="1:13" ht="12.75">
      <c r="A439" s="191"/>
      <c r="M439" s="191"/>
    </row>
    <row r="440" spans="1:13" ht="12.75">
      <c r="A440" s="191"/>
      <c r="M440" s="191"/>
    </row>
    <row r="441" spans="1:13" ht="12.75">
      <c r="A441" s="191"/>
      <c r="M441" s="191"/>
    </row>
    <row r="442" spans="1:13" ht="12.75">
      <c r="A442" s="191"/>
      <c r="M442" s="191"/>
    </row>
    <row r="443" spans="1:13" ht="12.75">
      <c r="A443" s="191"/>
      <c r="M443" s="191"/>
    </row>
    <row r="444" spans="1:13" ht="12.75">
      <c r="A444" s="191"/>
      <c r="M444" s="191"/>
    </row>
    <row r="445" spans="1:13" ht="12.75">
      <c r="A445" s="191"/>
      <c r="M445" s="191"/>
    </row>
    <row r="446" spans="1:13" ht="12.75">
      <c r="A446" s="191"/>
      <c r="M446" s="191"/>
    </row>
    <row r="447" spans="1:13" ht="12.75">
      <c r="A447" s="191"/>
      <c r="M447" s="191"/>
    </row>
    <row r="448" spans="1:13" ht="12.75">
      <c r="A448" s="191"/>
      <c r="M448" s="191"/>
    </row>
    <row r="449" spans="1:13" ht="12.75">
      <c r="A449" s="191"/>
      <c r="M449" s="191"/>
    </row>
    <row r="450" spans="1:13" ht="12.75">
      <c r="A450" s="191"/>
      <c r="M450" s="191"/>
    </row>
    <row r="451" spans="1:13" ht="12.75">
      <c r="A451" s="191"/>
      <c r="M451" s="191"/>
    </row>
    <row r="452" spans="1:13" ht="12.75">
      <c r="A452" s="191"/>
      <c r="M452" s="191"/>
    </row>
    <row r="453" spans="1:13" ht="12.75">
      <c r="A453" s="191"/>
      <c r="M453" s="191"/>
    </row>
    <row r="454" spans="1:13" ht="12.75">
      <c r="A454" s="191"/>
      <c r="M454" s="191"/>
    </row>
    <row r="455" spans="1:13" ht="12.75">
      <c r="A455" s="191"/>
      <c r="M455" s="191"/>
    </row>
    <row r="456" spans="1:13" ht="12.75">
      <c r="A456" s="191"/>
      <c r="M456" s="191"/>
    </row>
    <row r="457" spans="1:13" ht="12.75">
      <c r="A457" s="191"/>
      <c r="M457" s="191"/>
    </row>
    <row r="458" spans="1:13" ht="12.75">
      <c r="A458" s="191"/>
      <c r="M458" s="191"/>
    </row>
    <row r="459" spans="1:13" ht="12.75">
      <c r="A459" s="191"/>
      <c r="M459" s="191"/>
    </row>
    <row r="460" spans="1:13" ht="12.75">
      <c r="A460" s="191"/>
      <c r="M460" s="191"/>
    </row>
    <row r="461" spans="1:13" ht="12.75">
      <c r="A461" s="191"/>
      <c r="M461" s="191"/>
    </row>
    <row r="462" spans="1:13" ht="12.75">
      <c r="A462" s="191"/>
      <c r="M462" s="191"/>
    </row>
    <row r="463" spans="1:13" ht="12.75">
      <c r="A463" s="191"/>
      <c r="M463" s="191"/>
    </row>
    <row r="464" spans="1:13" ht="12.75">
      <c r="A464" s="191"/>
      <c r="M464" s="191"/>
    </row>
    <row r="465" spans="1:13" ht="12.75">
      <c r="A465" s="191"/>
      <c r="M465" s="191"/>
    </row>
    <row r="466" spans="1:13" ht="12.75">
      <c r="A466" s="191"/>
      <c r="M466" s="191"/>
    </row>
    <row r="467" spans="1:13" ht="12.75">
      <c r="A467" s="191"/>
      <c r="M467" s="191"/>
    </row>
    <row r="468" spans="1:13" ht="12.75">
      <c r="A468" s="191"/>
      <c r="M468" s="191"/>
    </row>
    <row r="469" spans="1:13" ht="12.75">
      <c r="A469" s="191"/>
      <c r="M469" s="191"/>
    </row>
    <row r="470" spans="1:13" ht="12.75">
      <c r="A470" s="191"/>
      <c r="M470" s="191"/>
    </row>
    <row r="471" spans="1:13" ht="12.75">
      <c r="A471" s="191"/>
      <c r="M471" s="191"/>
    </row>
    <row r="472" spans="1:13" ht="12.75">
      <c r="A472" s="191"/>
      <c r="M472" s="191"/>
    </row>
    <row r="473" spans="1:13" ht="12.75">
      <c r="A473" s="191"/>
      <c r="M473" s="191"/>
    </row>
    <row r="474" spans="1:13" ht="12.75">
      <c r="A474" s="191"/>
      <c r="M474" s="191"/>
    </row>
    <row r="475" spans="1:13" ht="12.75">
      <c r="A475" s="191"/>
      <c r="M475" s="191"/>
    </row>
    <row r="476" spans="1:13" ht="12.75">
      <c r="A476" s="191"/>
      <c r="B476" s="57" t="s">
        <v>343</v>
      </c>
      <c r="M476" s="191"/>
    </row>
    <row r="477" spans="1:13" ht="12.75">
      <c r="A477" s="191"/>
      <c r="M477" s="191"/>
    </row>
    <row r="478" spans="1:13" ht="12.75">
      <c r="A478" s="191"/>
      <c r="B478" t="s">
        <v>344</v>
      </c>
      <c r="M478" s="191"/>
    </row>
    <row r="479" spans="1:13" ht="12.75">
      <c r="A479" s="191"/>
      <c r="B479" t="s">
        <v>345</v>
      </c>
      <c r="M479" s="191"/>
    </row>
    <row r="480" spans="1:13" ht="12.75">
      <c r="A480" s="191"/>
      <c r="B480" t="s">
        <v>346</v>
      </c>
      <c r="M480" s="191"/>
    </row>
    <row r="481" spans="1:13" ht="12.75">
      <c r="A481" s="191"/>
      <c r="B481" t="s">
        <v>347</v>
      </c>
      <c r="M481" s="191"/>
    </row>
    <row r="482" spans="1:13" ht="12.75">
      <c r="A482" s="191"/>
      <c r="B482" t="s">
        <v>348</v>
      </c>
      <c r="M482" s="191"/>
    </row>
    <row r="483" spans="1:13" ht="12.75">
      <c r="A483" s="191"/>
      <c r="B483" t="s">
        <v>349</v>
      </c>
      <c r="M483" s="191"/>
    </row>
    <row r="484" spans="1:13" ht="12.75">
      <c r="A484" s="191"/>
      <c r="B484" t="s">
        <v>350</v>
      </c>
      <c r="M484" s="191"/>
    </row>
    <row r="485" spans="1:13" ht="12.75">
      <c r="A485" s="191"/>
      <c r="B485" t="s">
        <v>351</v>
      </c>
      <c r="M485" s="191"/>
    </row>
    <row r="486" spans="1:13" ht="12.75">
      <c r="A486" s="191"/>
      <c r="B486" t="s">
        <v>352</v>
      </c>
      <c r="M486" s="191"/>
    </row>
    <row r="487" spans="1:13" ht="12.75">
      <c r="A487" s="191"/>
      <c r="B487" t="s">
        <v>353</v>
      </c>
      <c r="M487" s="191"/>
    </row>
    <row r="488" spans="1:13" ht="12.75">
      <c r="A488" s="191"/>
      <c r="B488" t="s">
        <v>354</v>
      </c>
      <c r="M488" s="191"/>
    </row>
    <row r="489" spans="1:13" ht="12.75">
      <c r="A489" s="191"/>
      <c r="B489" t="s">
        <v>355</v>
      </c>
      <c r="M489" s="191"/>
    </row>
    <row r="490" spans="1:13" ht="12.75">
      <c r="A490" s="191"/>
      <c r="B490" t="s">
        <v>356</v>
      </c>
      <c r="M490" s="191"/>
    </row>
    <row r="491" spans="1:13" ht="12.75">
      <c r="A491" s="191"/>
      <c r="B491" t="s">
        <v>357</v>
      </c>
      <c r="M491" s="191"/>
    </row>
    <row r="492" spans="1:13" ht="12.75">
      <c r="A492" s="191"/>
      <c r="B492" t="s">
        <v>358</v>
      </c>
      <c r="M492" s="191"/>
    </row>
    <row r="493" spans="1:13" ht="12.75">
      <c r="A493" s="191"/>
      <c r="B493" t="s">
        <v>359</v>
      </c>
      <c r="M493" s="191"/>
    </row>
    <row r="494" spans="1:13" ht="12.75">
      <c r="A494" s="191"/>
      <c r="B494" t="s">
        <v>360</v>
      </c>
      <c r="M494" s="191"/>
    </row>
    <row r="495" spans="1:13" ht="12.75">
      <c r="A495" s="191"/>
      <c r="B495" t="s">
        <v>361</v>
      </c>
      <c r="M495" s="191"/>
    </row>
    <row r="496" spans="1:13" ht="12.75">
      <c r="A496" s="191"/>
      <c r="B496" t="s">
        <v>362</v>
      </c>
      <c r="M496" s="191"/>
    </row>
    <row r="497" spans="1:13" ht="12.75">
      <c r="A497" s="191"/>
      <c r="B497" t="s">
        <v>363</v>
      </c>
      <c r="M497" s="191"/>
    </row>
    <row r="498" spans="1:13" ht="12.75">
      <c r="A498" s="191"/>
      <c r="B498" t="s">
        <v>364</v>
      </c>
      <c r="M498" s="191"/>
    </row>
    <row r="499" spans="1:13" ht="12.75">
      <c r="A499" s="191"/>
      <c r="B499" t="s">
        <v>365</v>
      </c>
      <c r="M499" s="191"/>
    </row>
    <row r="500" spans="1:13" ht="12.75">
      <c r="A500" s="191"/>
      <c r="B500" t="s">
        <v>366</v>
      </c>
      <c r="M500" s="191"/>
    </row>
    <row r="501" spans="1:13" ht="12.75">
      <c r="A501" s="191"/>
      <c r="B501" t="s">
        <v>367</v>
      </c>
      <c r="M501" s="191"/>
    </row>
    <row r="502" spans="1:13" ht="12.75">
      <c r="A502" s="191"/>
      <c r="B502" t="s">
        <v>368</v>
      </c>
      <c r="M502" s="191"/>
    </row>
    <row r="503" spans="1:13" ht="12.75">
      <c r="A503" s="191"/>
      <c r="B503" t="s">
        <v>369</v>
      </c>
      <c r="M503" s="191"/>
    </row>
    <row r="504" spans="1:13" ht="12.75">
      <c r="A504" s="191"/>
      <c r="B504" t="s">
        <v>370</v>
      </c>
      <c r="M504" s="191"/>
    </row>
    <row r="505" spans="1:13" ht="12.75">
      <c r="A505" s="191"/>
      <c r="M505" s="191"/>
    </row>
    <row r="506" spans="1:13" ht="12.75">
      <c r="A506" s="191"/>
      <c r="M506" s="191"/>
    </row>
    <row r="507" spans="1:13" ht="12.75">
      <c r="A507" s="191"/>
      <c r="M507" s="191"/>
    </row>
    <row r="508" spans="1:13" ht="12.75">
      <c r="A508" s="191"/>
      <c r="M508" s="191"/>
    </row>
    <row r="509" spans="1:13" ht="12.75">
      <c r="A509" s="191"/>
      <c r="M509" s="191"/>
    </row>
    <row r="510" spans="1:13" ht="12.75">
      <c r="A510" s="191"/>
      <c r="M510" s="191"/>
    </row>
    <row r="511" spans="1:13" ht="12.75">
      <c r="A511" s="191"/>
      <c r="M511" s="191"/>
    </row>
    <row r="512" spans="1:13" ht="12.75">
      <c r="A512" s="191"/>
      <c r="M512" s="191"/>
    </row>
    <row r="513" spans="1:13" ht="12.75">
      <c r="A513" s="191"/>
      <c r="M513" s="191"/>
    </row>
    <row r="514" spans="1:13" ht="12.75">
      <c r="A514" s="191"/>
      <c r="M514" s="191"/>
    </row>
    <row r="515" spans="1:13" ht="12.75">
      <c r="A515" s="191"/>
      <c r="M515" s="191"/>
    </row>
    <row r="516" spans="1:13" ht="12.75">
      <c r="A516" s="191"/>
      <c r="M516" s="191"/>
    </row>
    <row r="517" spans="1:13" ht="12.75">
      <c r="A517" s="191"/>
      <c r="M517" s="191"/>
    </row>
    <row r="518" spans="1:13" ht="12.75">
      <c r="A518" s="191"/>
      <c r="M518" s="191"/>
    </row>
    <row r="519" spans="1:13" ht="12.75">
      <c r="A519" s="191"/>
      <c r="M519" s="191"/>
    </row>
    <row r="520" spans="1:13" ht="12.75">
      <c r="A520" s="191"/>
      <c r="M520" s="191"/>
    </row>
    <row r="521" spans="1:13" ht="12.75">
      <c r="A521" s="191"/>
      <c r="M521" s="191"/>
    </row>
    <row r="522" spans="1:13" ht="12.75">
      <c r="A522" s="191"/>
      <c r="M522" s="191"/>
    </row>
    <row r="523" spans="1:13" ht="12.75">
      <c r="A523" s="191"/>
      <c r="M523" s="191"/>
    </row>
    <row r="524" spans="1:13" ht="12.75">
      <c r="A524" s="191"/>
      <c r="M524" s="191"/>
    </row>
    <row r="525" spans="1:13" ht="12.75">
      <c r="A525" s="191"/>
      <c r="M525" s="191"/>
    </row>
    <row r="526" spans="1:13" ht="12.75">
      <c r="A526" s="191"/>
      <c r="M526" s="191"/>
    </row>
    <row r="527" spans="1:13" ht="12.75">
      <c r="A527" s="191"/>
      <c r="M527" s="191"/>
    </row>
    <row r="528" spans="1:13" ht="12.75">
      <c r="A528" s="191"/>
      <c r="M528" s="191"/>
    </row>
    <row r="529" spans="1:13" ht="12.75">
      <c r="A529" s="191"/>
      <c r="M529" s="191"/>
    </row>
    <row r="530" spans="1:13" ht="12.75">
      <c r="A530" s="191"/>
      <c r="M530" s="191"/>
    </row>
    <row r="531" spans="1:13" ht="12.75">
      <c r="A531" s="191"/>
      <c r="M531" s="191"/>
    </row>
    <row r="532" spans="1:13" ht="12.75">
      <c r="A532" s="191"/>
      <c r="M532" s="191"/>
    </row>
    <row r="533" spans="1:13" ht="12.75">
      <c r="A533" s="191"/>
      <c r="M533" s="191"/>
    </row>
    <row r="534" spans="1:13" ht="12.75">
      <c r="A534" s="191"/>
      <c r="M534" s="191"/>
    </row>
    <row r="535" spans="1:13" ht="12.75">
      <c r="A535" s="191"/>
      <c r="M535" s="191"/>
    </row>
    <row r="536" spans="1:13" ht="12.75">
      <c r="A536" s="191"/>
      <c r="M536" s="191"/>
    </row>
    <row r="537" spans="1:13" ht="12.75">
      <c r="A537" s="191"/>
      <c r="M537" s="191"/>
    </row>
    <row r="538" spans="1:13" ht="12.75">
      <c r="A538" s="191"/>
      <c r="M538" s="191"/>
    </row>
    <row r="539" spans="1:13" ht="12.75">
      <c r="A539" s="191"/>
      <c r="M539" s="191"/>
    </row>
    <row r="540" spans="1:13" ht="12.75">
      <c r="A540" s="191"/>
      <c r="M540" s="191"/>
    </row>
    <row r="541" spans="1:13" ht="12.75">
      <c r="A541" s="191"/>
      <c r="M541" s="191"/>
    </row>
    <row r="542" spans="1:13" ht="12.75">
      <c r="A542" s="191"/>
      <c r="M542" s="191"/>
    </row>
    <row r="543" spans="1:13" ht="12.75">
      <c r="A543" s="191"/>
      <c r="M543" s="191"/>
    </row>
    <row r="544" spans="1:13" ht="12.75">
      <c r="A544" s="191"/>
      <c r="M544" s="191"/>
    </row>
    <row r="545" spans="1:13" ht="12.75">
      <c r="A545" s="191"/>
      <c r="M545" s="191"/>
    </row>
    <row r="546" spans="1:13" ht="12.75">
      <c r="A546" s="191"/>
      <c r="M546" s="191"/>
    </row>
    <row r="547" spans="1:13" ht="12.75">
      <c r="A547" s="191"/>
      <c r="M547" s="191"/>
    </row>
    <row r="548" spans="1:13" ht="12.75">
      <c r="A548" s="191"/>
      <c r="M548" s="191"/>
    </row>
    <row r="549" spans="1:13" ht="12.75">
      <c r="A549" s="191"/>
      <c r="M549" s="191"/>
    </row>
    <row r="550" spans="1:13" ht="12.75">
      <c r="A550" s="191"/>
      <c r="M550" s="191"/>
    </row>
    <row r="551" ht="12.75">
      <c r="A551" s="191"/>
    </row>
    <row r="552" ht="12.75">
      <c r="A552" s="191"/>
    </row>
    <row r="553" ht="12.75">
      <c r="A553" s="191"/>
    </row>
    <row r="554" ht="12.75">
      <c r="A554" s="191"/>
    </row>
    <row r="555" ht="12.75">
      <c r="A555" s="191"/>
    </row>
    <row r="556" ht="12.75">
      <c r="A556" s="191"/>
    </row>
    <row r="557" ht="12.75">
      <c r="A557" s="191"/>
    </row>
    <row r="558" ht="12.75">
      <c r="A558" s="191"/>
    </row>
    <row r="559" ht="12.75">
      <c r="A559" s="191"/>
    </row>
    <row r="560" ht="12.75">
      <c r="A560" s="191"/>
    </row>
    <row r="561" ht="12.75">
      <c r="A561" s="191"/>
    </row>
    <row r="562" ht="12.75">
      <c r="A562" s="191"/>
    </row>
    <row r="563" ht="12.75">
      <c r="A563" s="191"/>
    </row>
    <row r="564" ht="12.75">
      <c r="A564" s="191"/>
    </row>
    <row r="565" ht="12.75">
      <c r="A565" s="191"/>
    </row>
    <row r="566" ht="12.75">
      <c r="A566" s="191"/>
    </row>
    <row r="567" ht="12.75">
      <c r="A567" s="191"/>
    </row>
    <row r="568" ht="12.75">
      <c r="A568" s="191"/>
    </row>
    <row r="569" ht="12.75">
      <c r="A569" s="191"/>
    </row>
    <row r="570" ht="12.75">
      <c r="A570" s="191"/>
    </row>
    <row r="571" ht="12.75">
      <c r="A571" s="191"/>
    </row>
    <row r="572" ht="12.75">
      <c r="A572" s="191"/>
    </row>
    <row r="573" ht="12.75">
      <c r="A573" s="191"/>
    </row>
    <row r="574" ht="12.75">
      <c r="A574" s="191"/>
    </row>
    <row r="575" ht="12.75">
      <c r="A575" s="191"/>
    </row>
    <row r="576" ht="12.75">
      <c r="A576" s="191"/>
    </row>
    <row r="577" ht="12.75">
      <c r="A577" s="191"/>
    </row>
    <row r="578" ht="12.75">
      <c r="A578" s="191"/>
    </row>
    <row r="579" ht="12.75">
      <c r="A579" s="191"/>
    </row>
    <row r="580" ht="12.75">
      <c r="A580" s="191"/>
    </row>
    <row r="581" ht="12.75">
      <c r="A581" s="191"/>
    </row>
    <row r="582" ht="12.75">
      <c r="A582" s="191"/>
    </row>
    <row r="583" ht="12.75">
      <c r="A583" s="191"/>
    </row>
    <row r="584" ht="12.75">
      <c r="A584" s="191"/>
    </row>
    <row r="585" ht="12.75">
      <c r="A585" s="191"/>
    </row>
    <row r="586" ht="12.75">
      <c r="A586" s="191"/>
    </row>
    <row r="587" ht="12.75">
      <c r="A587" s="191"/>
    </row>
    <row r="588" ht="12.75">
      <c r="A588" s="191"/>
    </row>
    <row r="589" ht="12.75">
      <c r="A589" s="191"/>
    </row>
    <row r="590" ht="12.75">
      <c r="A590" s="191"/>
    </row>
    <row r="591" ht="12.75">
      <c r="A591" s="191"/>
    </row>
    <row r="592" ht="12.75">
      <c r="A592" s="191"/>
    </row>
    <row r="593" ht="12.75">
      <c r="A593" s="191"/>
    </row>
    <row r="594" ht="12.75">
      <c r="A594" s="191"/>
    </row>
    <row r="595" ht="12.75">
      <c r="A595" s="191"/>
    </row>
    <row r="596" ht="12.75">
      <c r="A596" s="191"/>
    </row>
    <row r="597" ht="12.75">
      <c r="A597" s="191"/>
    </row>
    <row r="598" ht="12.75">
      <c r="A598" s="191"/>
    </row>
    <row r="599" ht="12.75">
      <c r="A599" s="191"/>
    </row>
    <row r="600" ht="12.75">
      <c r="A600" s="191"/>
    </row>
    <row r="601" ht="12.75">
      <c r="A601" s="191"/>
    </row>
    <row r="602" ht="12.75">
      <c r="A602" s="191"/>
    </row>
    <row r="603" ht="12.75">
      <c r="A603" s="191"/>
    </row>
    <row r="604" ht="12.75">
      <c r="A604" s="191"/>
    </row>
    <row r="605" ht="12.75">
      <c r="A605" s="191"/>
    </row>
    <row r="606" ht="12.75">
      <c r="A606" s="191"/>
    </row>
    <row r="607" ht="12.75">
      <c r="A607" s="191"/>
    </row>
    <row r="608" ht="12.75">
      <c r="A608" s="191"/>
    </row>
    <row r="609" ht="12.75">
      <c r="A609" s="191"/>
    </row>
    <row r="610" ht="12.75">
      <c r="A610" s="191"/>
    </row>
    <row r="611" ht="12.75">
      <c r="A611" s="191"/>
    </row>
    <row r="612" ht="12.75">
      <c r="A612" s="191"/>
    </row>
    <row r="613" ht="12.75">
      <c r="A613" s="191"/>
    </row>
    <row r="614" ht="12.75">
      <c r="A614" s="191"/>
    </row>
    <row r="615" ht="12.75">
      <c r="A615" s="191"/>
    </row>
    <row r="616" ht="12.75">
      <c r="A616" s="191"/>
    </row>
    <row r="617" ht="12.75">
      <c r="A617" s="191"/>
    </row>
    <row r="618" ht="12.75">
      <c r="A618" s="191"/>
    </row>
    <row r="619" ht="12.75">
      <c r="A619" s="191"/>
    </row>
    <row r="620" ht="12.75">
      <c r="A620" s="191"/>
    </row>
    <row r="621" ht="12.75">
      <c r="A621" s="191"/>
    </row>
    <row r="622" ht="12.75">
      <c r="A622" s="191"/>
    </row>
    <row r="623" ht="12.75">
      <c r="A623" s="191"/>
    </row>
    <row r="637" ht="12.75">
      <c r="M637" s="191"/>
    </row>
    <row r="638" ht="12.75">
      <c r="M638" s="191"/>
    </row>
    <row r="639" ht="12.75">
      <c r="M639" s="191"/>
    </row>
    <row r="640" ht="12.75">
      <c r="M640" s="191"/>
    </row>
    <row r="641" ht="12.75">
      <c r="M641" s="191"/>
    </row>
    <row r="642" ht="12.75">
      <c r="M642" s="191"/>
    </row>
    <row r="643" ht="12.75">
      <c r="M643" s="191"/>
    </row>
    <row r="644" ht="12.75">
      <c r="M644" s="191"/>
    </row>
    <row r="645" ht="12.75">
      <c r="M645" s="191"/>
    </row>
    <row r="646" ht="12.75">
      <c r="M646" s="191"/>
    </row>
    <row r="647" ht="12.75">
      <c r="M647" s="191"/>
    </row>
    <row r="648" ht="12.75">
      <c r="M648" s="191"/>
    </row>
    <row r="649" ht="12.75">
      <c r="M649" s="191"/>
    </row>
    <row r="650" ht="12.75">
      <c r="M650" s="191"/>
    </row>
    <row r="651" ht="12.75">
      <c r="M651" s="191"/>
    </row>
    <row r="652" ht="12.75">
      <c r="M652" s="191"/>
    </row>
    <row r="653" ht="12.75">
      <c r="M653" s="191"/>
    </row>
    <row r="654" ht="12.75">
      <c r="M654" s="191"/>
    </row>
    <row r="655" ht="12.75">
      <c r="M655" s="191"/>
    </row>
    <row r="656" ht="12.75">
      <c r="M656" s="191"/>
    </row>
    <row r="657" ht="12.75">
      <c r="M657" s="191"/>
    </row>
    <row r="658" ht="12.75">
      <c r="M658" s="191"/>
    </row>
    <row r="659" ht="12.75">
      <c r="M659" s="191"/>
    </row>
    <row r="660" ht="12.75">
      <c r="M660" s="191"/>
    </row>
    <row r="661" ht="12.75">
      <c r="M661" s="191"/>
    </row>
    <row r="662" ht="12.75">
      <c r="M662" s="191"/>
    </row>
    <row r="663" ht="12.75">
      <c r="M663" s="191"/>
    </row>
    <row r="664" ht="12.75">
      <c r="M664" s="191"/>
    </row>
    <row r="665" ht="12.75">
      <c r="M665" s="191"/>
    </row>
    <row r="666" ht="12.75">
      <c r="M666" s="191"/>
    </row>
    <row r="667" spans="1:13" ht="12.75">
      <c r="A667" s="191"/>
      <c r="M667" s="191"/>
    </row>
    <row r="668" spans="1:13" ht="12.75">
      <c r="A668" s="191"/>
      <c r="M668" s="191"/>
    </row>
    <row r="669" spans="1:13" ht="12.75">
      <c r="A669" s="191"/>
      <c r="M669" s="191"/>
    </row>
    <row r="670" spans="1:13" ht="12.75">
      <c r="A670" s="191"/>
      <c r="M670" s="191"/>
    </row>
    <row r="671" spans="1:13" ht="12.75">
      <c r="A671" s="191"/>
      <c r="M671" s="191"/>
    </row>
    <row r="672" spans="1:13" ht="12.75">
      <c r="A672" s="191"/>
      <c r="M672" s="191"/>
    </row>
    <row r="673" spans="1:13" ht="12.75">
      <c r="A673" s="191"/>
      <c r="M673" s="191"/>
    </row>
    <row r="674" spans="1:13" ht="12.75">
      <c r="A674" s="191"/>
      <c r="M674" s="191"/>
    </row>
    <row r="675" spans="1:13" ht="12.75">
      <c r="A675" s="191"/>
      <c r="M675" s="191"/>
    </row>
    <row r="676" spans="1:13" ht="12.75">
      <c r="A676" s="191"/>
      <c r="M676" s="191"/>
    </row>
    <row r="677" spans="1:13" ht="12.75">
      <c r="A677" s="191"/>
      <c r="M677" s="191"/>
    </row>
  </sheetData>
  <sheetProtection/>
  <mergeCells count="59">
    <mergeCell ref="R250:W250"/>
    <mergeCell ref="F259:K259"/>
    <mergeCell ref="A232:K232"/>
    <mergeCell ref="M232:W232"/>
    <mergeCell ref="R235:V235"/>
    <mergeCell ref="F236:J236"/>
    <mergeCell ref="R241:W241"/>
    <mergeCell ref="F242:K242"/>
    <mergeCell ref="F181:J181"/>
    <mergeCell ref="R187:W187"/>
    <mergeCell ref="F189:K189"/>
    <mergeCell ref="R200:W200"/>
    <mergeCell ref="F204:K204"/>
    <mergeCell ref="F217:K217"/>
    <mergeCell ref="F151:K151"/>
    <mergeCell ref="R153:W153"/>
    <mergeCell ref="F160:K160"/>
    <mergeCell ref="R162:W162"/>
    <mergeCell ref="A178:K178"/>
    <mergeCell ref="M178:W178"/>
    <mergeCell ref="A135:K135"/>
    <mergeCell ref="M137:W137"/>
    <mergeCell ref="F139:J139"/>
    <mergeCell ref="R141:V141"/>
    <mergeCell ref="F145:K145"/>
    <mergeCell ref="R147:W147"/>
    <mergeCell ref="F104:K104"/>
    <mergeCell ref="R104:W104"/>
    <mergeCell ref="F112:K112"/>
    <mergeCell ref="R112:W112"/>
    <mergeCell ref="R120:W120"/>
    <mergeCell ref="F121:K121"/>
    <mergeCell ref="F77:K77"/>
    <mergeCell ref="R77:W77"/>
    <mergeCell ref="A94:K94"/>
    <mergeCell ref="M94:W94"/>
    <mergeCell ref="F97:K97"/>
    <mergeCell ref="F98:J98"/>
    <mergeCell ref="R98:V98"/>
    <mergeCell ref="F53:K53"/>
    <mergeCell ref="F54:J54"/>
    <mergeCell ref="R54:V54"/>
    <mergeCell ref="F60:K60"/>
    <mergeCell ref="R60:W60"/>
    <mergeCell ref="F66:K66"/>
    <mergeCell ref="R66:W66"/>
    <mergeCell ref="F22:K22"/>
    <mergeCell ref="R23:W23"/>
    <mergeCell ref="F33:K33"/>
    <mergeCell ref="R34:W34"/>
    <mergeCell ref="A50:K50"/>
    <mergeCell ref="M50:W50"/>
    <mergeCell ref="A2:K2"/>
    <mergeCell ref="M2:W2"/>
    <mergeCell ref="F5:J5"/>
    <mergeCell ref="F6:J6"/>
    <mergeCell ref="R6:V6"/>
    <mergeCell ref="F12:K12"/>
    <mergeCell ref="R12:W12"/>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2:I164"/>
  <sheetViews>
    <sheetView showGridLines="0" zoomScalePageLayoutView="0" workbookViewId="0" topLeftCell="A1">
      <selection activeCell="A4" sqref="A4"/>
    </sheetView>
  </sheetViews>
  <sheetFormatPr defaultColWidth="11.421875" defaultRowHeight="12.75"/>
  <cols>
    <col min="1" max="1" width="25.8515625" style="0" customWidth="1"/>
  </cols>
  <sheetData>
    <row r="1" ht="13.5" thickBot="1"/>
    <row r="2" spans="1:9" ht="23.25" thickBot="1">
      <c r="A2" s="1165" t="s">
        <v>154</v>
      </c>
      <c r="B2" s="1166"/>
      <c r="C2" s="1166"/>
      <c r="D2" s="1166"/>
      <c r="E2" s="1166"/>
      <c r="F2" s="1166"/>
      <c r="G2" s="1166"/>
      <c r="H2" s="1166"/>
      <c r="I2" s="1167"/>
    </row>
    <row r="4" spans="1:9" ht="12.75">
      <c r="A4" s="298" t="s">
        <v>928</v>
      </c>
      <c r="B4" s="161">
        <v>850</v>
      </c>
      <c r="C4" s="299" t="s">
        <v>929</v>
      </c>
      <c r="D4" s="161">
        <v>300</v>
      </c>
      <c r="E4" s="161"/>
      <c r="F4" s="161"/>
      <c r="G4" s="299" t="s">
        <v>930</v>
      </c>
      <c r="H4" s="161">
        <v>400</v>
      </c>
      <c r="I4" s="161"/>
    </row>
    <row r="5" spans="1:9" ht="13.5" thickBot="1">
      <c r="A5" s="161"/>
      <c r="B5" s="161"/>
      <c r="C5" s="161"/>
      <c r="D5" s="161"/>
      <c r="E5" s="161"/>
      <c r="F5" s="161"/>
      <c r="G5" s="161"/>
      <c r="H5" s="161"/>
      <c r="I5" s="161"/>
    </row>
    <row r="6" spans="1:9" ht="13.5" thickBot="1">
      <c r="A6" s="300" t="s">
        <v>931</v>
      </c>
      <c r="B6" s="301" t="s">
        <v>932</v>
      </c>
      <c r="C6" s="301" t="s">
        <v>933</v>
      </c>
      <c r="D6" s="301" t="s">
        <v>934</v>
      </c>
      <c r="E6" s="302" t="s">
        <v>935</v>
      </c>
      <c r="F6" s="251"/>
      <c r="G6" s="299" t="s">
        <v>936</v>
      </c>
      <c r="H6" s="303">
        <f>(H4+G31)/B4</f>
        <v>0.48470588235294115</v>
      </c>
      <c r="I6" s="161"/>
    </row>
    <row r="7" spans="1:9" ht="12.75">
      <c r="A7" s="154" t="s">
        <v>937</v>
      </c>
      <c r="B7" s="154">
        <v>175</v>
      </c>
      <c r="C7" s="304">
        <v>1.9</v>
      </c>
      <c r="D7" s="305">
        <f>B7*C7</f>
        <v>332.5</v>
      </c>
      <c r="E7" s="305">
        <f>((H4*H15-(H4*H17))*D7)</f>
        <v>59850</v>
      </c>
      <c r="F7" s="161"/>
      <c r="G7" s="161"/>
      <c r="H7" s="161"/>
      <c r="I7" s="161"/>
    </row>
    <row r="8" spans="1:9" ht="12.75">
      <c r="A8" s="155" t="s">
        <v>938</v>
      </c>
      <c r="B8" s="155">
        <v>390</v>
      </c>
      <c r="C8" s="306">
        <v>1.45</v>
      </c>
      <c r="D8" s="307">
        <f>B8*C8</f>
        <v>565.5</v>
      </c>
      <c r="E8" s="307">
        <f>H4*H17*D8</f>
        <v>45240</v>
      </c>
      <c r="F8" s="161"/>
      <c r="G8" s="299" t="s">
        <v>939</v>
      </c>
      <c r="H8" s="161">
        <f>B7*(H4*H15-H4*H17)+B8*(H4*H17)+B9*H32</f>
        <v>64000</v>
      </c>
      <c r="I8" s="161"/>
    </row>
    <row r="9" spans="1:9" ht="13.5" thickBot="1">
      <c r="A9" s="308" t="s">
        <v>940</v>
      </c>
      <c r="B9" s="308">
        <v>650</v>
      </c>
      <c r="C9" s="309">
        <v>1.5</v>
      </c>
      <c r="D9" s="310">
        <f>B9*C9</f>
        <v>975</v>
      </c>
      <c r="E9" s="310">
        <f>H32*D9</f>
        <v>1950</v>
      </c>
      <c r="F9" s="161"/>
      <c r="G9" s="299" t="s">
        <v>941</v>
      </c>
      <c r="H9" s="311">
        <f>E10/H8</f>
        <v>1.6725</v>
      </c>
      <c r="I9" s="161"/>
    </row>
    <row r="10" spans="1:9" ht="13.5" thickBot="1">
      <c r="A10" s="312" t="s">
        <v>942</v>
      </c>
      <c r="B10" s="313"/>
      <c r="C10" s="314"/>
      <c r="D10" s="315"/>
      <c r="E10" s="316">
        <f>SUM(E7:E9)</f>
        <v>107040</v>
      </c>
      <c r="F10" s="161"/>
      <c r="G10" s="161"/>
      <c r="H10" s="161"/>
      <c r="I10" s="161"/>
    </row>
    <row r="11" spans="1:9" ht="13.5" thickBot="1">
      <c r="A11" s="161"/>
      <c r="B11" s="161"/>
      <c r="C11" s="161"/>
      <c r="D11" s="161"/>
      <c r="E11" s="161"/>
      <c r="F11" s="161"/>
      <c r="G11" s="161"/>
      <c r="H11" s="161"/>
      <c r="I11" s="161"/>
    </row>
    <row r="12" spans="1:9" ht="13.5" thickBot="1">
      <c r="A12" s="312" t="s">
        <v>943</v>
      </c>
      <c r="B12" s="301" t="s">
        <v>944</v>
      </c>
      <c r="C12" s="302" t="s">
        <v>945</v>
      </c>
      <c r="D12" s="251"/>
      <c r="E12" s="251"/>
      <c r="F12" s="161"/>
      <c r="G12" s="317" t="s">
        <v>946</v>
      </c>
      <c r="H12" s="161"/>
      <c r="I12" s="161"/>
    </row>
    <row r="13" spans="1:9" ht="12.75">
      <c r="A13" s="209" t="s">
        <v>947</v>
      </c>
      <c r="B13" s="154"/>
      <c r="C13" s="154"/>
      <c r="D13" s="161"/>
      <c r="E13" s="161"/>
      <c r="F13" s="161"/>
      <c r="G13" s="161" t="s">
        <v>948</v>
      </c>
      <c r="H13" s="318">
        <v>0.7</v>
      </c>
      <c r="I13" s="161"/>
    </row>
    <row r="14" spans="1:9" ht="12.75">
      <c r="A14" s="155" t="s">
        <v>949</v>
      </c>
      <c r="B14" s="307">
        <f>1*I28</f>
        <v>682.5</v>
      </c>
      <c r="C14" s="307">
        <f>B14*13</f>
        <v>8872.5</v>
      </c>
      <c r="D14" s="161"/>
      <c r="E14" s="161"/>
      <c r="F14" s="161"/>
      <c r="G14" s="161" t="s">
        <v>950</v>
      </c>
      <c r="H14" s="318">
        <v>0.68</v>
      </c>
      <c r="I14" s="161"/>
    </row>
    <row r="15" spans="1:9" ht="12.75">
      <c r="A15" s="155" t="s">
        <v>951</v>
      </c>
      <c r="B15" s="306"/>
      <c r="C15" s="306"/>
      <c r="D15" s="161"/>
      <c r="E15" s="161"/>
      <c r="F15" s="161"/>
      <c r="G15" s="161" t="s">
        <v>952</v>
      </c>
      <c r="H15" s="318">
        <v>0.65</v>
      </c>
      <c r="I15" s="161"/>
    </row>
    <row r="16" spans="1:9" ht="12.75">
      <c r="A16" s="155" t="s">
        <v>953</v>
      </c>
      <c r="B16" s="306">
        <v>800</v>
      </c>
      <c r="C16" s="307">
        <f>B16*12+E10*H22</f>
        <v>10670.4</v>
      </c>
      <c r="D16" s="161"/>
      <c r="E16" s="161"/>
      <c r="F16" s="161"/>
      <c r="G16" s="161" t="s">
        <v>954</v>
      </c>
      <c r="H16" s="318">
        <f>H14-H15</f>
        <v>0.030000000000000027</v>
      </c>
      <c r="I16" s="161"/>
    </row>
    <row r="17" spans="1:9" ht="12.75">
      <c r="A17" s="155" t="s">
        <v>955</v>
      </c>
      <c r="B17" s="306">
        <f>1*H25</f>
        <v>90</v>
      </c>
      <c r="C17" s="307">
        <f>B17*I25</f>
        <v>2160</v>
      </c>
      <c r="D17" s="161"/>
      <c r="E17" s="161"/>
      <c r="F17" s="161"/>
      <c r="G17" s="161" t="s">
        <v>956</v>
      </c>
      <c r="H17" s="318">
        <v>0.2</v>
      </c>
      <c r="I17" s="161"/>
    </row>
    <row r="18" spans="1:9" ht="12.75">
      <c r="A18" s="155" t="s">
        <v>957</v>
      </c>
      <c r="B18" s="306">
        <v>150</v>
      </c>
      <c r="C18" s="307">
        <f>B18*12</f>
        <v>1800</v>
      </c>
      <c r="D18" s="161"/>
      <c r="E18" s="161"/>
      <c r="F18" s="161"/>
      <c r="G18" s="161"/>
      <c r="H18" s="161"/>
      <c r="I18" s="161"/>
    </row>
    <row r="19" spans="1:9" ht="12.75">
      <c r="A19" s="155" t="s">
        <v>958</v>
      </c>
      <c r="B19" s="306">
        <v>2500</v>
      </c>
      <c r="C19" s="307">
        <f>B19*12</f>
        <v>30000</v>
      </c>
      <c r="D19" s="161"/>
      <c r="E19" s="161"/>
      <c r="F19" s="161"/>
      <c r="G19" s="161"/>
      <c r="H19" s="161"/>
      <c r="I19" s="161"/>
    </row>
    <row r="20" spans="1:9" ht="12.75">
      <c r="A20" s="155" t="s">
        <v>959</v>
      </c>
      <c r="B20" s="306">
        <v>350</v>
      </c>
      <c r="C20" s="307">
        <f>B20*12</f>
        <v>4200</v>
      </c>
      <c r="D20" s="161"/>
      <c r="E20" s="319"/>
      <c r="F20" s="161"/>
      <c r="G20" s="299" t="s">
        <v>960</v>
      </c>
      <c r="H20" s="161"/>
      <c r="I20" s="161"/>
    </row>
    <row r="21" spans="1:9" ht="12.75">
      <c r="A21" s="155" t="s">
        <v>961</v>
      </c>
      <c r="B21" s="306">
        <v>75</v>
      </c>
      <c r="C21" s="307">
        <f>B21*12</f>
        <v>900</v>
      </c>
      <c r="D21" s="161"/>
      <c r="E21" s="319"/>
      <c r="F21" s="161"/>
      <c r="G21" s="320" t="s">
        <v>962</v>
      </c>
      <c r="H21" s="321"/>
      <c r="I21" s="161"/>
    </row>
    <row r="22" spans="1:9" ht="12.75">
      <c r="A22" s="322" t="s">
        <v>963</v>
      </c>
      <c r="B22" s="309"/>
      <c r="C22" s="310">
        <f>SUM(C14:C21)</f>
        <v>58602.9</v>
      </c>
      <c r="D22" s="161"/>
      <c r="E22" s="319"/>
      <c r="F22" s="161"/>
      <c r="G22" s="155" t="s">
        <v>964</v>
      </c>
      <c r="H22" s="323">
        <v>0.01</v>
      </c>
      <c r="I22" s="161"/>
    </row>
    <row r="23" spans="1:9" ht="12.75">
      <c r="A23" s="155"/>
      <c r="B23" s="155"/>
      <c r="C23" s="155"/>
      <c r="D23" s="155"/>
      <c r="E23" s="283"/>
      <c r="F23" s="161"/>
      <c r="G23" s="161"/>
      <c r="H23" s="161"/>
      <c r="I23" s="161"/>
    </row>
    <row r="24" spans="1:9" ht="12.75">
      <c r="A24" s="159" t="s">
        <v>965</v>
      </c>
      <c r="B24" s="160" t="s">
        <v>966</v>
      </c>
      <c r="C24" s="160" t="s">
        <v>945</v>
      </c>
      <c r="D24" s="324" t="s">
        <v>967</v>
      </c>
      <c r="E24" s="319"/>
      <c r="F24" s="161"/>
      <c r="G24" s="320" t="s">
        <v>968</v>
      </c>
      <c r="H24" s="155" t="s">
        <v>969</v>
      </c>
      <c r="I24" s="155" t="s">
        <v>970</v>
      </c>
    </row>
    <row r="25" spans="1:9" ht="12.75">
      <c r="A25" s="155" t="s">
        <v>971</v>
      </c>
      <c r="B25" s="155">
        <v>3</v>
      </c>
      <c r="C25" s="325">
        <f>D25/B25</f>
        <v>1666.6666666666667</v>
      </c>
      <c r="D25" s="306">
        <v>5000</v>
      </c>
      <c r="E25" s="319"/>
      <c r="F25" s="161"/>
      <c r="G25" s="321"/>
      <c r="H25" s="155">
        <v>90</v>
      </c>
      <c r="I25" s="155">
        <v>24</v>
      </c>
    </row>
    <row r="26" spans="1:9" ht="12.75">
      <c r="A26" s="155" t="s">
        <v>972</v>
      </c>
      <c r="B26" s="155">
        <v>1</v>
      </c>
      <c r="C26" s="307">
        <f>D26/B26</f>
        <v>3600</v>
      </c>
      <c r="D26" s="306">
        <v>3600</v>
      </c>
      <c r="E26" s="319"/>
      <c r="F26" s="161"/>
      <c r="G26" s="299" t="s">
        <v>676</v>
      </c>
      <c r="H26" s="161"/>
      <c r="I26" s="161"/>
    </row>
    <row r="27" spans="1:9" ht="12.75">
      <c r="A27" s="326" t="s">
        <v>973</v>
      </c>
      <c r="B27" s="155">
        <v>1</v>
      </c>
      <c r="C27" s="307">
        <f>D27/B27</f>
        <v>27000</v>
      </c>
      <c r="D27" s="306">
        <f>180*150</f>
        <v>27000</v>
      </c>
      <c r="E27" s="319"/>
      <c r="F27" s="161"/>
      <c r="G27" s="155" t="s">
        <v>974</v>
      </c>
      <c r="H27" s="155" t="s">
        <v>975</v>
      </c>
      <c r="I27" s="155" t="s">
        <v>976</v>
      </c>
    </row>
    <row r="28" spans="1:9" ht="12.75">
      <c r="A28" s="155" t="s">
        <v>977</v>
      </c>
      <c r="B28" s="327"/>
      <c r="C28" s="307">
        <f>G31*G135+H4*G144+H4*H17*G164+H4*H14*G150</f>
        <v>1752</v>
      </c>
      <c r="D28" s="327"/>
      <c r="E28" s="319"/>
      <c r="F28" s="161"/>
      <c r="G28" s="328">
        <f>(IF(H4&lt;400,1,H4/400))</f>
        <v>1</v>
      </c>
      <c r="H28" s="306">
        <f>525*1.3</f>
        <v>682.5</v>
      </c>
      <c r="I28" s="306">
        <f>H28*G28</f>
        <v>682.5</v>
      </c>
    </row>
    <row r="29" spans="1:9" ht="12.75">
      <c r="A29" s="155" t="s">
        <v>978</v>
      </c>
      <c r="B29" s="327"/>
      <c r="C29" s="307">
        <f>H31*0.7/I31*3%*B4*H6</f>
        <v>4326</v>
      </c>
      <c r="D29" s="327"/>
      <c r="E29" s="319"/>
      <c r="F29" s="161"/>
      <c r="G29" s="161"/>
      <c r="H29" s="161"/>
      <c r="I29" s="161"/>
    </row>
    <row r="30" spans="1:9" ht="12.75">
      <c r="A30" s="155" t="s">
        <v>979</v>
      </c>
      <c r="B30" s="327"/>
      <c r="C30" s="307">
        <v>0</v>
      </c>
      <c r="D30" s="327"/>
      <c r="E30" s="319"/>
      <c r="F30" s="161"/>
      <c r="G30" s="329" t="s">
        <v>980</v>
      </c>
      <c r="H30" s="329" t="s">
        <v>934</v>
      </c>
      <c r="I30" s="329" t="s">
        <v>966</v>
      </c>
    </row>
    <row r="31" spans="1:9" ht="12.75">
      <c r="A31" s="155" t="s">
        <v>981</v>
      </c>
      <c r="B31" s="327"/>
      <c r="C31" s="307">
        <v>0</v>
      </c>
      <c r="D31" s="327"/>
      <c r="E31" s="319"/>
      <c r="F31" s="161"/>
      <c r="G31" s="328">
        <f>H4*3%</f>
        <v>12</v>
      </c>
      <c r="H31" s="330">
        <v>1500</v>
      </c>
      <c r="I31" s="285">
        <v>3</v>
      </c>
    </row>
    <row r="32" spans="1:9" ht="12.75">
      <c r="A32" s="159" t="s">
        <v>982</v>
      </c>
      <c r="B32" s="327"/>
      <c r="C32" s="307">
        <f>SUM(C25:C31)</f>
        <v>38344.66666666667</v>
      </c>
      <c r="D32" s="327"/>
      <c r="E32" s="319"/>
      <c r="F32" s="161"/>
      <c r="G32" s="320" t="s">
        <v>983</v>
      </c>
      <c r="H32" s="155">
        <v>2</v>
      </c>
      <c r="I32" s="161"/>
    </row>
    <row r="33" spans="1:9" ht="13.5" thickBot="1">
      <c r="A33" s="159" t="s">
        <v>984</v>
      </c>
      <c r="B33" s="327"/>
      <c r="C33" s="307">
        <f>C22+C32</f>
        <v>96947.56666666668</v>
      </c>
      <c r="D33" s="327"/>
      <c r="E33" s="319"/>
      <c r="F33" s="161"/>
      <c r="G33" s="161"/>
      <c r="H33" s="161"/>
      <c r="I33" s="161"/>
    </row>
    <row r="34" spans="1:9" ht="13.5" thickBot="1">
      <c r="A34" s="155"/>
      <c r="B34" s="327"/>
      <c r="C34" s="307"/>
      <c r="D34" s="327"/>
      <c r="E34" s="319"/>
      <c r="F34" s="331" t="s">
        <v>985</v>
      </c>
      <c r="G34" s="332"/>
      <c r="H34" s="332"/>
      <c r="I34" s="333">
        <f>C33/H8</f>
        <v>1.5148057291666668</v>
      </c>
    </row>
    <row r="35" spans="1:9" ht="13.5" thickBot="1">
      <c r="A35" s="159" t="s">
        <v>986</v>
      </c>
      <c r="B35" s="327"/>
      <c r="C35" s="307">
        <f>H8*H9-C33</f>
        <v>10092.43333333332</v>
      </c>
      <c r="D35" s="327"/>
      <c r="E35" s="319"/>
      <c r="F35" s="331" t="s">
        <v>987</v>
      </c>
      <c r="G35" s="332"/>
      <c r="H35" s="332"/>
      <c r="I35" s="333">
        <f>C33/H9</f>
        <v>57965.66018933732</v>
      </c>
    </row>
    <row r="36" spans="1:9" ht="12.75">
      <c r="A36" s="161"/>
      <c r="B36" s="161"/>
      <c r="C36" s="161"/>
      <c r="D36" s="161"/>
      <c r="E36" s="161"/>
      <c r="F36" s="161"/>
      <c r="G36" s="161"/>
      <c r="H36" s="161"/>
      <c r="I36" s="161"/>
    </row>
    <row r="37" spans="1:9" ht="12.75">
      <c r="A37" s="161"/>
      <c r="B37" s="161" t="s">
        <v>988</v>
      </c>
      <c r="C37" s="334">
        <f>C35/(C33+B4*D4)</f>
        <v>0.028675957128841217</v>
      </c>
      <c r="D37" s="161"/>
      <c r="E37" s="161"/>
      <c r="F37" s="161"/>
      <c r="G37" s="161"/>
      <c r="H37" s="161"/>
      <c r="I37" s="161"/>
    </row>
    <row r="38" spans="1:9" ht="12.75">
      <c r="A38" s="335"/>
      <c r="B38" s="299" t="s">
        <v>989</v>
      </c>
      <c r="C38" s="161"/>
      <c r="D38" s="161"/>
      <c r="E38" s="161"/>
      <c r="F38" s="161"/>
      <c r="G38" s="161"/>
      <c r="H38" s="161"/>
      <c r="I38" s="161"/>
    </row>
    <row r="39" spans="1:9" ht="12.75">
      <c r="A39" s="161"/>
      <c r="B39" s="161"/>
      <c r="C39" s="161"/>
      <c r="D39" s="161"/>
      <c r="E39" s="161"/>
      <c r="F39" s="161"/>
      <c r="G39" s="161"/>
      <c r="H39" s="161"/>
      <c r="I39" s="161"/>
    </row>
    <row r="40" spans="1:9" ht="13.5" thickBot="1">
      <c r="A40" s="161"/>
      <c r="B40" s="299" t="s">
        <v>990</v>
      </c>
      <c r="C40" s="161"/>
      <c r="D40" s="161"/>
      <c r="E40" s="161"/>
      <c r="F40" s="161"/>
      <c r="G40" s="161"/>
      <c r="H40" s="161"/>
      <c r="I40" s="161"/>
    </row>
    <row r="41" spans="1:9" ht="13.5" thickBot="1">
      <c r="A41" s="161"/>
      <c r="B41" s="161"/>
      <c r="C41" s="161"/>
      <c r="D41" s="336" t="s">
        <v>991</v>
      </c>
      <c r="E41" s="332"/>
      <c r="F41" s="337">
        <v>0.05</v>
      </c>
      <c r="G41" s="161"/>
      <c r="H41" s="161"/>
      <c r="I41" s="161"/>
    </row>
    <row r="42" spans="1:9" ht="12.75">
      <c r="A42" s="155" t="s">
        <v>992</v>
      </c>
      <c r="B42" s="306">
        <f>C35/B4</f>
        <v>11.87345098039214</v>
      </c>
      <c r="C42" s="161"/>
      <c r="D42" s="161"/>
      <c r="E42" s="161"/>
      <c r="F42" s="161"/>
      <c r="G42" s="161"/>
      <c r="H42" s="161"/>
      <c r="I42" s="161"/>
    </row>
    <row r="43" spans="1:9" ht="12.75">
      <c r="A43" s="155" t="s">
        <v>993</v>
      </c>
      <c r="B43" s="306">
        <f>D4*F41</f>
        <v>15</v>
      </c>
      <c r="C43" s="311"/>
      <c r="D43" s="161"/>
      <c r="E43" s="161"/>
      <c r="F43" s="161"/>
      <c r="G43" s="161"/>
      <c r="H43" s="161"/>
      <c r="I43" s="161"/>
    </row>
    <row r="44" spans="1:9" ht="12.75">
      <c r="A44" s="161"/>
      <c r="B44" s="161"/>
      <c r="C44" s="161"/>
      <c r="D44" s="161"/>
      <c r="E44" s="161"/>
      <c r="F44" s="161"/>
      <c r="G44" s="161"/>
      <c r="H44" s="161"/>
      <c r="I44" s="161"/>
    </row>
    <row r="45" spans="1:9" ht="13.5" thickBot="1">
      <c r="A45" s="299" t="s">
        <v>994</v>
      </c>
      <c r="B45" s="161"/>
      <c r="C45" s="161"/>
      <c r="D45" s="161"/>
      <c r="E45" s="161"/>
      <c r="F45" s="161"/>
      <c r="G45" s="161"/>
      <c r="H45" s="161"/>
      <c r="I45" s="161"/>
    </row>
    <row r="46" spans="1:9" ht="13.5" thickBot="1">
      <c r="A46" s="137">
        <v>400</v>
      </c>
      <c r="B46" s="338" t="s">
        <v>995</v>
      </c>
      <c r="C46" s="332">
        <v>1.8</v>
      </c>
      <c r="D46" s="332" t="s">
        <v>996</v>
      </c>
      <c r="E46" s="332"/>
      <c r="F46" s="332">
        <v>12</v>
      </c>
      <c r="G46" s="339" t="s">
        <v>997</v>
      </c>
      <c r="H46" s="161"/>
      <c r="I46" s="161"/>
    </row>
    <row r="47" spans="1:9" ht="12.75">
      <c r="A47" s="155" t="s">
        <v>998</v>
      </c>
      <c r="B47" s="155">
        <f>A46*C46*F46</f>
        <v>8640</v>
      </c>
      <c r="C47" s="161"/>
      <c r="D47" s="161"/>
      <c r="E47" s="161"/>
      <c r="F47" s="161"/>
      <c r="G47" s="161"/>
      <c r="H47" s="161"/>
      <c r="I47" s="161"/>
    </row>
    <row r="48" spans="1:9" ht="12.75">
      <c r="A48" s="155" t="s">
        <v>988</v>
      </c>
      <c r="B48" s="340">
        <f>B47/(B4*D4)</f>
        <v>0.03388235294117647</v>
      </c>
      <c r="C48" s="161"/>
      <c r="D48" s="161"/>
      <c r="E48" s="161"/>
      <c r="F48" s="161"/>
      <c r="G48" s="161"/>
      <c r="H48" s="161"/>
      <c r="I48" s="161"/>
    </row>
    <row r="49" spans="1:9" ht="12.75">
      <c r="A49" s="161"/>
      <c r="B49" s="161"/>
      <c r="C49" s="161"/>
      <c r="D49" s="311"/>
      <c r="E49" s="161"/>
      <c r="F49" s="161"/>
      <c r="G49" s="161"/>
      <c r="H49" s="161"/>
      <c r="I49" s="161"/>
    </row>
    <row r="50" spans="1:9" ht="12.75">
      <c r="A50" s="161"/>
      <c r="B50" s="161"/>
      <c r="C50" s="161"/>
      <c r="D50" s="161"/>
      <c r="E50" s="161"/>
      <c r="F50" s="161"/>
      <c r="G50" s="161"/>
      <c r="H50" s="161"/>
      <c r="I50" s="161"/>
    </row>
    <row r="51" spans="1:9" ht="12.75">
      <c r="A51" s="311">
        <f>1*C35</f>
        <v>10092.43333333332</v>
      </c>
      <c r="B51" s="161" t="s">
        <v>999</v>
      </c>
      <c r="C51" s="161"/>
      <c r="D51" s="161"/>
      <c r="E51" s="161"/>
      <c r="F51" s="161"/>
      <c r="G51" s="161"/>
      <c r="H51" s="161"/>
      <c r="I51" s="161"/>
    </row>
    <row r="52" spans="1:9" ht="12.75">
      <c r="A52" s="161">
        <f>B43*B4</f>
        <v>12750</v>
      </c>
      <c r="B52" s="161" t="s">
        <v>1000</v>
      </c>
      <c r="C52" s="161"/>
      <c r="D52" s="161"/>
      <c r="E52" s="161"/>
      <c r="F52" s="161"/>
      <c r="G52" s="161"/>
      <c r="H52" s="161"/>
      <c r="I52" s="161"/>
    </row>
    <row r="53" spans="1:9" ht="12.75">
      <c r="A53" s="161">
        <f>1*B47</f>
        <v>8640</v>
      </c>
      <c r="B53" s="161" t="s">
        <v>994</v>
      </c>
      <c r="C53" s="161"/>
      <c r="D53" s="161"/>
      <c r="E53" s="161"/>
      <c r="F53" s="161"/>
      <c r="G53" s="161"/>
      <c r="H53" s="161"/>
      <c r="I53" s="161"/>
    </row>
    <row r="54" spans="1:9" ht="12.75">
      <c r="A54" s="161"/>
      <c r="B54" s="161"/>
      <c r="C54" s="161"/>
      <c r="D54" s="161"/>
      <c r="E54" s="161"/>
      <c r="F54" s="161"/>
      <c r="G54" s="161"/>
      <c r="H54" s="161"/>
      <c r="I54" s="161"/>
    </row>
    <row r="55" spans="1:9" ht="12.75">
      <c r="A55" s="324" t="s">
        <v>1001</v>
      </c>
      <c r="B55" s="324" t="s">
        <v>1002</v>
      </c>
      <c r="C55" s="324" t="s">
        <v>1003</v>
      </c>
      <c r="D55" s="324" t="s">
        <v>1004</v>
      </c>
      <c r="E55" s="324" t="s">
        <v>1005</v>
      </c>
      <c r="F55" s="324" t="s">
        <v>1006</v>
      </c>
      <c r="G55" s="324" t="s">
        <v>1007</v>
      </c>
      <c r="H55" s="161"/>
      <c r="I55" s="161"/>
    </row>
    <row r="56" spans="1:9" ht="12.75">
      <c r="A56" s="155">
        <f>C35/H8</f>
        <v>0.15769427083333312</v>
      </c>
      <c r="B56" s="155">
        <f>A52/H8</f>
        <v>0.19921875</v>
      </c>
      <c r="C56" s="155">
        <f>B47/H8</f>
        <v>0.135</v>
      </c>
      <c r="D56" s="341">
        <f>A56-B56</f>
        <v>-0.04152447916666688</v>
      </c>
      <c r="E56" s="155">
        <f>A56-C56</f>
        <v>0.022694270833333113</v>
      </c>
      <c r="F56" s="341">
        <f>H9-D56</f>
        <v>1.714024479166667</v>
      </c>
      <c r="G56" s="341">
        <f>H9-E56</f>
        <v>1.649805729166667</v>
      </c>
      <c r="H56" s="161"/>
      <c r="I56" s="161"/>
    </row>
    <row r="57" spans="1:9" ht="12.75">
      <c r="A57" s="161"/>
      <c r="B57" s="161"/>
      <c r="C57" s="161"/>
      <c r="D57" s="161"/>
      <c r="E57" s="161"/>
      <c r="F57" s="161"/>
      <c r="G57" s="161"/>
      <c r="H57" s="161"/>
      <c r="I57" s="161"/>
    </row>
    <row r="58" spans="1:9" ht="12.75">
      <c r="A58" s="251" t="s">
        <v>1008</v>
      </c>
      <c r="B58" s="161" t="s">
        <v>1009</v>
      </c>
      <c r="C58" s="161"/>
      <c r="D58" s="161"/>
      <c r="E58" s="161"/>
      <c r="F58" s="161"/>
      <c r="G58" s="161"/>
      <c r="H58" s="161"/>
      <c r="I58" s="161"/>
    </row>
    <row r="59" spans="1:9" ht="12.75">
      <c r="A59" s="342" t="s">
        <v>1007</v>
      </c>
      <c r="B59" s="161" t="s">
        <v>1010</v>
      </c>
      <c r="C59" s="161"/>
      <c r="D59" s="161"/>
      <c r="E59" s="161"/>
      <c r="F59" s="161"/>
      <c r="G59" s="161"/>
      <c r="H59" s="161"/>
      <c r="I59" s="161"/>
    </row>
    <row r="120" ht="12.75">
      <c r="A120" t="s">
        <v>1011</v>
      </c>
    </row>
    <row r="121" spans="1:7" ht="12.75">
      <c r="A121" s="343" t="s">
        <v>1012</v>
      </c>
      <c r="B121" s="343" t="s">
        <v>1013</v>
      </c>
      <c r="C121" s="343" t="s">
        <v>1014</v>
      </c>
      <c r="D121" s="343" t="s">
        <v>1015</v>
      </c>
      <c r="E121" s="343" t="s">
        <v>1016</v>
      </c>
      <c r="F121" s="343" t="s">
        <v>1017</v>
      </c>
      <c r="G121" s="343" t="s">
        <v>1018</v>
      </c>
    </row>
    <row r="122" spans="1:7" ht="12.75">
      <c r="A122" s="33" t="s">
        <v>1019</v>
      </c>
      <c r="B122" s="33">
        <v>1.7</v>
      </c>
      <c r="C122" s="33"/>
      <c r="D122" s="33"/>
      <c r="E122" s="33"/>
      <c r="F122" s="33"/>
      <c r="G122" s="33"/>
    </row>
    <row r="123" spans="1:7" ht="12.75">
      <c r="A123" s="33" t="s">
        <v>1020</v>
      </c>
      <c r="B123" s="33">
        <v>1.7</v>
      </c>
      <c r="C123" s="33"/>
      <c r="D123" s="33"/>
      <c r="E123" s="33"/>
      <c r="F123" s="33"/>
      <c r="G123" s="33"/>
    </row>
    <row r="124" spans="1:7" ht="12.75">
      <c r="A124" s="33" t="s">
        <v>1021</v>
      </c>
      <c r="B124" s="33">
        <v>1.7</v>
      </c>
      <c r="C124" s="33"/>
      <c r="D124" s="33"/>
      <c r="E124" s="33"/>
      <c r="F124" s="33"/>
      <c r="G124" s="33"/>
    </row>
    <row r="125" spans="1:7" ht="12.75">
      <c r="A125" s="33" t="s">
        <v>1022</v>
      </c>
      <c r="B125" s="33">
        <v>1.7</v>
      </c>
      <c r="C125" s="33">
        <v>0.42</v>
      </c>
      <c r="D125" s="33"/>
      <c r="E125" s="33"/>
      <c r="F125" s="33"/>
      <c r="G125" s="33"/>
    </row>
    <row r="126" spans="1:7" ht="12.75">
      <c r="A126" s="33" t="s">
        <v>1023</v>
      </c>
      <c r="B126" s="33">
        <v>1.7</v>
      </c>
      <c r="C126" s="33"/>
      <c r="D126" s="33"/>
      <c r="E126" s="33"/>
      <c r="F126" s="33"/>
      <c r="G126" s="33"/>
    </row>
    <row r="127" spans="1:7" ht="12.75">
      <c r="A127" s="33" t="s">
        <v>1024</v>
      </c>
      <c r="B127" s="33"/>
      <c r="C127" s="33"/>
      <c r="D127" s="33"/>
      <c r="E127" s="33"/>
      <c r="F127" s="33">
        <v>5</v>
      </c>
      <c r="G127" s="33"/>
    </row>
    <row r="128" spans="1:7" ht="12.75">
      <c r="A128" s="33" t="s">
        <v>1025</v>
      </c>
      <c r="B128" s="33"/>
      <c r="C128" s="33">
        <v>0.42</v>
      </c>
      <c r="D128" s="33"/>
      <c r="E128" s="33"/>
      <c r="F128" s="33"/>
      <c r="G128" s="33"/>
    </row>
    <row r="129" spans="1:7" ht="12.75">
      <c r="A129" s="33" t="s">
        <v>1026</v>
      </c>
      <c r="B129" s="33"/>
      <c r="C129" s="33">
        <v>0.42</v>
      </c>
      <c r="D129" s="33"/>
      <c r="E129" s="33"/>
      <c r="F129" s="33"/>
      <c r="G129" s="33"/>
    </row>
    <row r="130" spans="1:7" ht="12.75">
      <c r="A130" s="33" t="s">
        <v>1027</v>
      </c>
      <c r="B130" s="33"/>
      <c r="C130" s="33"/>
      <c r="D130" s="33"/>
      <c r="E130" s="33"/>
      <c r="F130" s="33"/>
      <c r="G130" s="33"/>
    </row>
    <row r="131" spans="1:7" ht="12.75">
      <c r="A131" s="33" t="s">
        <v>1028</v>
      </c>
      <c r="B131" s="33"/>
      <c r="C131" s="33"/>
      <c r="D131" s="33"/>
      <c r="E131" s="33">
        <v>0.18</v>
      </c>
      <c r="F131" s="33"/>
      <c r="G131" s="33"/>
    </row>
    <row r="132" spans="1:7" ht="12.75">
      <c r="A132" s="33" t="s">
        <v>1029</v>
      </c>
      <c r="B132" s="33"/>
      <c r="C132" s="33"/>
      <c r="D132" s="33"/>
      <c r="E132" s="33">
        <v>0.15</v>
      </c>
      <c r="F132" s="33"/>
      <c r="G132" s="33"/>
    </row>
    <row r="133" spans="1:7" ht="12.75">
      <c r="A133" s="33" t="s">
        <v>1030</v>
      </c>
      <c r="B133" s="33"/>
      <c r="C133" s="33"/>
      <c r="D133" s="33">
        <f>0.15*3</f>
        <v>0.44999999999999996</v>
      </c>
      <c r="E133" s="33"/>
      <c r="F133" s="33"/>
      <c r="G133" s="33"/>
    </row>
    <row r="134" spans="1:7" ht="12.75">
      <c r="A134" s="33" t="s">
        <v>1031</v>
      </c>
      <c r="B134" s="33"/>
      <c r="C134" s="33"/>
      <c r="D134" s="33">
        <v>0.18</v>
      </c>
      <c r="E134" s="33"/>
      <c r="F134" s="33"/>
      <c r="G134" s="33"/>
    </row>
    <row r="135" spans="1:7" ht="12.75">
      <c r="A135" s="343" t="s">
        <v>1032</v>
      </c>
      <c r="B135" s="343">
        <f>SUM(B122:B134)</f>
        <v>8.5</v>
      </c>
      <c r="C135" s="343">
        <f>SUM(C122:C134)</f>
        <v>1.26</v>
      </c>
      <c r="D135" s="343">
        <f>SUM(D122:D134)</f>
        <v>0.6299999999999999</v>
      </c>
      <c r="E135" s="343">
        <f>SUM(E122:E134)</f>
        <v>0.32999999999999996</v>
      </c>
      <c r="F135" s="343">
        <f>SUM(F122:F134)</f>
        <v>5</v>
      </c>
      <c r="G135" s="343">
        <f>SUM(B135:F135)</f>
        <v>15.72</v>
      </c>
    </row>
    <row r="136" spans="1:7" ht="12.75">
      <c r="A136" s="33" t="s">
        <v>1033</v>
      </c>
      <c r="B136" s="33"/>
      <c r="C136" s="33"/>
      <c r="D136" s="33"/>
      <c r="E136" s="33"/>
      <c r="F136" s="33"/>
      <c r="G136" s="33"/>
    </row>
    <row r="137" spans="1:7" ht="12.75">
      <c r="A137" s="33" t="s">
        <v>1019</v>
      </c>
      <c r="B137" s="33"/>
      <c r="C137" s="33"/>
      <c r="D137" s="33"/>
      <c r="E137" s="33">
        <v>0.29</v>
      </c>
      <c r="F137" s="33"/>
      <c r="G137" s="33"/>
    </row>
    <row r="138" spans="1:7" ht="12.75">
      <c r="A138" s="33" t="s">
        <v>1020</v>
      </c>
      <c r="B138" s="33"/>
      <c r="C138" s="33"/>
      <c r="D138" s="33"/>
      <c r="E138" s="33">
        <v>0.29</v>
      </c>
      <c r="F138" s="33"/>
      <c r="G138" s="33"/>
    </row>
    <row r="139" spans="1:7" ht="12.75">
      <c r="A139" s="33" t="s">
        <v>1021</v>
      </c>
      <c r="B139" s="33"/>
      <c r="C139" s="33"/>
      <c r="D139" s="33"/>
      <c r="E139" s="33">
        <v>0.15</v>
      </c>
      <c r="F139" s="33"/>
      <c r="G139" s="33"/>
    </row>
    <row r="140" spans="1:7" ht="12.75">
      <c r="A140" s="33" t="s">
        <v>1022</v>
      </c>
      <c r="B140" s="33"/>
      <c r="C140" s="33">
        <v>0.42</v>
      </c>
      <c r="D140" s="33"/>
      <c r="E140" s="33"/>
      <c r="F140" s="33"/>
      <c r="G140" s="33"/>
    </row>
    <row r="141" spans="1:7" ht="12.75">
      <c r="A141" s="33" t="s">
        <v>1027</v>
      </c>
      <c r="B141" s="33"/>
      <c r="C141" s="33">
        <v>0.42</v>
      </c>
      <c r="D141" s="33"/>
      <c r="E141" s="33"/>
      <c r="F141" s="33"/>
      <c r="G141" s="33"/>
    </row>
    <row r="142" spans="1:7" ht="12.75">
      <c r="A142" s="33" t="s">
        <v>1025</v>
      </c>
      <c r="B142" s="33"/>
      <c r="C142" s="33">
        <v>0.42</v>
      </c>
      <c r="D142" s="33"/>
      <c r="E142" s="33"/>
      <c r="F142" s="33"/>
      <c r="G142" s="33"/>
    </row>
    <row r="143" spans="1:7" ht="12.75">
      <c r="A143" s="33" t="s">
        <v>1026</v>
      </c>
      <c r="B143" s="33"/>
      <c r="C143" s="33">
        <v>0.42</v>
      </c>
      <c r="D143" s="33"/>
      <c r="E143" s="33"/>
      <c r="F143" s="33"/>
      <c r="G143" s="33"/>
    </row>
    <row r="144" spans="1:7" ht="12.75">
      <c r="A144" s="343" t="s">
        <v>1032</v>
      </c>
      <c r="B144" s="343">
        <f>SUM(B137:B143)</f>
        <v>0</v>
      </c>
      <c r="C144" s="343">
        <f>SUM(C137:C143)</f>
        <v>1.68</v>
      </c>
      <c r="D144" s="343">
        <f>SUM(D137:D143)</f>
        <v>0</v>
      </c>
      <c r="E144" s="343">
        <f>SUM(E137:E143)</f>
        <v>0.73</v>
      </c>
      <c r="F144" s="343">
        <f>SUM(F137:F143)</f>
        <v>0</v>
      </c>
      <c r="G144" s="343">
        <f>SUM(B144:F144)</f>
        <v>2.41</v>
      </c>
    </row>
    <row r="145" spans="1:7" ht="12.75">
      <c r="A145" s="33" t="s">
        <v>1034</v>
      </c>
      <c r="B145" s="33"/>
      <c r="C145" s="33"/>
      <c r="D145" s="33"/>
      <c r="E145" s="33"/>
      <c r="F145" s="33"/>
      <c r="G145" s="33"/>
    </row>
    <row r="146" spans="1:7" ht="12.75">
      <c r="A146" s="33" t="s">
        <v>1020</v>
      </c>
      <c r="B146" s="33"/>
      <c r="C146" s="33">
        <v>0.29</v>
      </c>
      <c r="D146" s="33"/>
      <c r="E146" s="33"/>
      <c r="F146" s="33"/>
      <c r="G146" s="33"/>
    </row>
    <row r="147" spans="1:7" ht="12.75">
      <c r="A147" s="33" t="s">
        <v>1035</v>
      </c>
      <c r="B147" s="33"/>
      <c r="C147" s="33">
        <v>0.18</v>
      </c>
      <c r="D147" s="33"/>
      <c r="E147" s="33"/>
      <c r="F147" s="33"/>
      <c r="G147" s="33"/>
    </row>
    <row r="148" spans="1:7" ht="12.75">
      <c r="A148" s="33" t="s">
        <v>1029</v>
      </c>
      <c r="B148" s="33"/>
      <c r="C148" s="33"/>
      <c r="D148" s="33"/>
      <c r="E148" s="33">
        <v>0.31</v>
      </c>
      <c r="F148" s="33"/>
      <c r="G148" s="33"/>
    </row>
    <row r="149" spans="1:7" ht="12.75">
      <c r="A149" s="33" t="s">
        <v>1036</v>
      </c>
      <c r="B149" s="33"/>
      <c r="C149" s="33"/>
      <c r="D149" s="33">
        <f>0.15*3</f>
        <v>0.44999999999999996</v>
      </c>
      <c r="E149" s="33"/>
      <c r="F149" s="33"/>
      <c r="G149" s="33"/>
    </row>
    <row r="150" spans="1:7" ht="12.75">
      <c r="A150" s="343" t="s">
        <v>1032</v>
      </c>
      <c r="B150" s="343">
        <f>SUM(B146:B149)</f>
        <v>0</v>
      </c>
      <c r="C150" s="343">
        <f>SUM(C146:C149)</f>
        <v>0.47</v>
      </c>
      <c r="D150" s="343">
        <f>SUM(D146:D149)</f>
        <v>0.44999999999999996</v>
      </c>
      <c r="E150" s="343">
        <f>SUM(E146:E149)</f>
        <v>0.31</v>
      </c>
      <c r="F150" s="343">
        <f>SUM(F146:F149)</f>
        <v>0</v>
      </c>
      <c r="G150" s="343">
        <f>SUM(B150:F150)</f>
        <v>1.23</v>
      </c>
    </row>
    <row r="151" spans="1:7" ht="12.75">
      <c r="A151" s="33" t="s">
        <v>1037</v>
      </c>
      <c r="B151" s="33"/>
      <c r="C151" s="33"/>
      <c r="D151" s="33"/>
      <c r="E151" s="33"/>
      <c r="F151" s="33"/>
      <c r="G151" s="33"/>
    </row>
    <row r="152" spans="1:7" ht="12.75">
      <c r="A152" s="33" t="s">
        <v>1019</v>
      </c>
      <c r="B152" s="33"/>
      <c r="C152" s="33">
        <v>0.29</v>
      </c>
      <c r="D152" s="33"/>
      <c r="E152" s="33"/>
      <c r="F152" s="33"/>
      <c r="G152" s="33"/>
    </row>
    <row r="153" spans="1:7" ht="12.75">
      <c r="A153" s="33" t="s">
        <v>1020</v>
      </c>
      <c r="B153" s="33"/>
      <c r="C153" s="33">
        <v>0.29</v>
      </c>
      <c r="D153" s="33"/>
      <c r="E153" s="33"/>
      <c r="F153" s="33"/>
      <c r="G153" s="33"/>
    </row>
    <row r="154" spans="1:7" ht="12.75">
      <c r="A154" s="33" t="s">
        <v>1021</v>
      </c>
      <c r="B154" s="33"/>
      <c r="C154" s="33">
        <v>0.15</v>
      </c>
      <c r="D154" s="33"/>
      <c r="E154" s="33"/>
      <c r="F154" s="33"/>
      <c r="G154" s="33"/>
    </row>
    <row r="155" spans="1:7" ht="12.75">
      <c r="A155" s="33" t="s">
        <v>1022</v>
      </c>
      <c r="B155" s="33"/>
      <c r="C155" s="33">
        <v>0.42</v>
      </c>
      <c r="D155" s="33"/>
      <c r="E155" s="33"/>
      <c r="F155" s="33"/>
      <c r="G155" s="33"/>
    </row>
    <row r="156" spans="1:7" ht="12.75">
      <c r="A156" s="33" t="s">
        <v>1027</v>
      </c>
      <c r="B156" s="33"/>
      <c r="C156" s="33"/>
      <c r="D156" s="33"/>
      <c r="E156" s="33"/>
      <c r="F156" s="33"/>
      <c r="G156" s="33"/>
    </row>
    <row r="157" spans="1:7" ht="12.75">
      <c r="A157" s="33" t="s">
        <v>1025</v>
      </c>
      <c r="B157" s="33"/>
      <c r="C157" s="33">
        <v>0.42</v>
      </c>
      <c r="D157" s="33"/>
      <c r="E157" s="33"/>
      <c r="F157" s="33"/>
      <c r="G157" s="33"/>
    </row>
    <row r="158" spans="1:7" ht="12.75">
      <c r="A158" s="33" t="s">
        <v>1026</v>
      </c>
      <c r="B158" s="33"/>
      <c r="C158" s="33">
        <v>0.42</v>
      </c>
      <c r="D158" s="33"/>
      <c r="E158" s="33"/>
      <c r="F158" s="33"/>
      <c r="G158" s="33"/>
    </row>
    <row r="159" spans="1:7" ht="12.75">
      <c r="A159" s="33" t="s">
        <v>1028</v>
      </c>
      <c r="B159" s="33"/>
      <c r="C159" s="33">
        <v>0.18</v>
      </c>
      <c r="D159" s="33"/>
      <c r="E159" s="33"/>
      <c r="F159" s="33"/>
      <c r="G159" s="33"/>
    </row>
    <row r="160" spans="1:7" ht="12.75">
      <c r="A160" s="33" t="s">
        <v>1035</v>
      </c>
      <c r="B160" s="33"/>
      <c r="C160" s="33"/>
      <c r="D160" s="33"/>
      <c r="E160" s="33">
        <v>0.18</v>
      </c>
      <c r="F160" s="33"/>
      <c r="G160" s="33"/>
    </row>
    <row r="161" spans="1:7" ht="12.75">
      <c r="A161" s="33" t="s">
        <v>1029</v>
      </c>
      <c r="B161" s="33"/>
      <c r="C161" s="33"/>
      <c r="D161" s="33"/>
      <c r="E161" s="33">
        <v>0.31</v>
      </c>
      <c r="F161" s="33"/>
      <c r="G161" s="33"/>
    </row>
    <row r="162" spans="1:7" ht="12.75">
      <c r="A162" s="33" t="s">
        <v>1036</v>
      </c>
      <c r="B162" s="33"/>
      <c r="C162" s="33"/>
      <c r="D162" s="33">
        <v>0.65</v>
      </c>
      <c r="E162" s="33"/>
      <c r="F162" s="33"/>
      <c r="G162" s="33"/>
    </row>
    <row r="163" spans="1:7" ht="12.75">
      <c r="A163" s="33" t="s">
        <v>1024</v>
      </c>
      <c r="B163" s="33"/>
      <c r="C163" s="33"/>
      <c r="D163" s="33"/>
      <c r="E163" s="33"/>
      <c r="F163" s="33"/>
      <c r="G163" s="33"/>
    </row>
    <row r="164" spans="1:8" ht="12.75">
      <c r="A164" s="343" t="s">
        <v>1032</v>
      </c>
      <c r="B164" s="343">
        <f>SUM(B152:B163)</f>
        <v>0</v>
      </c>
      <c r="C164" s="343">
        <f>SUM(C152:C163)</f>
        <v>2.17</v>
      </c>
      <c r="D164" s="343">
        <f>SUM(D152:D163)</f>
        <v>0.65</v>
      </c>
      <c r="E164" s="343">
        <f>SUM(E152:E163)</f>
        <v>0.49</v>
      </c>
      <c r="F164" s="343">
        <f>SUM(F152:F163)</f>
        <v>0</v>
      </c>
      <c r="G164" s="343">
        <f>SUM(B164:F164)</f>
        <v>3.3099999999999996</v>
      </c>
      <c r="H164" s="343"/>
    </row>
  </sheetData>
  <sheetProtection/>
  <mergeCells count="1">
    <mergeCell ref="A2:I2"/>
  </mergeCell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3:J167"/>
  <sheetViews>
    <sheetView showGridLines="0" zoomScalePageLayoutView="0" workbookViewId="0" topLeftCell="A33">
      <selection activeCell="E39" sqref="E39"/>
    </sheetView>
  </sheetViews>
  <sheetFormatPr defaultColWidth="11.421875" defaultRowHeight="12.75"/>
  <cols>
    <col min="1" max="1" width="24.8515625" style="0" customWidth="1"/>
    <col min="2" max="2" width="12.7109375" style="0" customWidth="1"/>
    <col min="7" max="7" width="17.00390625" style="0" customWidth="1"/>
  </cols>
  <sheetData>
    <row r="3" spans="1:9" ht="22.5">
      <c r="A3" s="1168" t="s">
        <v>1038</v>
      </c>
      <c r="B3" s="1168"/>
      <c r="C3" s="1168"/>
      <c r="D3" s="1168"/>
      <c r="E3" s="1168"/>
      <c r="F3" s="1168"/>
      <c r="G3" s="1168"/>
      <c r="H3" s="1168"/>
      <c r="I3" s="1168"/>
    </row>
    <row r="5" spans="1:8" ht="12.75">
      <c r="A5" s="344" t="s">
        <v>928</v>
      </c>
      <c r="B5">
        <v>850</v>
      </c>
      <c r="C5" s="25" t="s">
        <v>929</v>
      </c>
      <c r="D5">
        <v>850</v>
      </c>
      <c r="G5" s="299" t="s">
        <v>1039</v>
      </c>
      <c r="H5">
        <f>1*G32</f>
        <v>650</v>
      </c>
    </row>
    <row r="6" ht="13.5" thickBot="1"/>
    <row r="7" spans="1:8" ht="13.5" thickBot="1">
      <c r="A7" s="38" t="s">
        <v>931</v>
      </c>
      <c r="B7" s="126" t="s">
        <v>932</v>
      </c>
      <c r="C7" s="126" t="s">
        <v>933</v>
      </c>
      <c r="D7" s="126" t="s">
        <v>934</v>
      </c>
      <c r="E7" s="128" t="s">
        <v>935</v>
      </c>
      <c r="F7" s="22"/>
      <c r="G7" s="299" t="s">
        <v>936</v>
      </c>
      <c r="H7" s="345">
        <f>(G28*J28/12+G29*J29/12+G30*J30/12+G31*J31/12)/B5</f>
        <v>0.6960784313725491</v>
      </c>
    </row>
    <row r="8" spans="1:5" ht="12.75">
      <c r="A8" s="31" t="s">
        <v>1040</v>
      </c>
      <c r="B8" s="31">
        <f>1*I28</f>
        <v>440</v>
      </c>
      <c r="C8" s="32">
        <v>2.2</v>
      </c>
      <c r="D8" s="346">
        <f>B8*C8</f>
        <v>968.0000000000001</v>
      </c>
      <c r="E8" s="346">
        <f>D8*G28-(D8*G28*$H$10)</f>
        <v>170755.20000000004</v>
      </c>
    </row>
    <row r="9" spans="1:5" ht="12.75">
      <c r="A9" s="31" t="s">
        <v>1041</v>
      </c>
      <c r="B9" s="31">
        <f>1*I29</f>
        <v>340</v>
      </c>
      <c r="C9" s="32">
        <v>2.2</v>
      </c>
      <c r="D9" s="346">
        <f>B9*C9</f>
        <v>748.0000000000001</v>
      </c>
      <c r="E9" s="346">
        <f>D9*G29-(D9*G29*$H$10)</f>
        <v>219912.00000000003</v>
      </c>
    </row>
    <row r="10" spans="1:8" ht="12.75">
      <c r="A10" s="31" t="s">
        <v>1042</v>
      </c>
      <c r="B10" s="31">
        <f>1*I30</f>
        <v>415</v>
      </c>
      <c r="C10" s="32">
        <v>1.8</v>
      </c>
      <c r="D10" s="346">
        <f>B10*C10</f>
        <v>747</v>
      </c>
      <c r="E10" s="346">
        <f>D10*G30-(D10*G30*$H$10)</f>
        <v>36603</v>
      </c>
      <c r="G10" t="s">
        <v>1043</v>
      </c>
      <c r="H10" s="20">
        <v>0.02</v>
      </c>
    </row>
    <row r="11" spans="1:5" ht="13.5" thickBot="1">
      <c r="A11" s="31" t="s">
        <v>1044</v>
      </c>
      <c r="B11" s="31">
        <f>1*I31</f>
        <v>380</v>
      </c>
      <c r="C11" s="32">
        <v>1.85</v>
      </c>
      <c r="D11" s="346">
        <f>B11*C11</f>
        <v>703</v>
      </c>
      <c r="E11" s="346">
        <f>D11*G31-(D11*G31*$H$10)</f>
        <v>82672.8</v>
      </c>
    </row>
    <row r="12" spans="1:8" ht="13.5" thickBot="1">
      <c r="A12" s="36" t="s">
        <v>942</v>
      </c>
      <c r="B12" s="347"/>
      <c r="C12" s="348"/>
      <c r="D12" s="349"/>
      <c r="E12" s="350">
        <f>SUM(E8:E11)</f>
        <v>509943.00000000006</v>
      </c>
      <c r="G12" s="299" t="s">
        <v>1045</v>
      </c>
      <c r="H12">
        <f>B8*G28-(B8*G28*H10)+B9*G29-(B9*G29*H10)+B10*G30-(B10*G30*H10)+B11*G31-(B11*G31*H10)</f>
        <v>242599</v>
      </c>
    </row>
    <row r="13" spans="7:8" ht="13.5" thickBot="1">
      <c r="G13" s="299" t="s">
        <v>941</v>
      </c>
      <c r="H13" s="351">
        <f>E12/H12</f>
        <v>2.101999596041204</v>
      </c>
    </row>
    <row r="14" spans="1:7" ht="13.5" thickBot="1">
      <c r="A14" s="36" t="s">
        <v>943</v>
      </c>
      <c r="B14" s="126" t="s">
        <v>944</v>
      </c>
      <c r="C14" s="128" t="s">
        <v>945</v>
      </c>
      <c r="D14" s="22"/>
      <c r="E14" s="22"/>
      <c r="G14" s="352"/>
    </row>
    <row r="15" spans="1:8" ht="12.75">
      <c r="A15" s="353" t="s">
        <v>947</v>
      </c>
      <c r="B15" s="31"/>
      <c r="C15" s="31"/>
      <c r="H15" s="20"/>
    </row>
    <row r="16" spans="1:6" ht="12.75">
      <c r="A16" s="33" t="s">
        <v>949</v>
      </c>
      <c r="B16" s="354">
        <f>1*H24</f>
        <v>1430</v>
      </c>
      <c r="C16" s="354">
        <f>B16*13</f>
        <v>18590</v>
      </c>
      <c r="F16" s="25" t="s">
        <v>960</v>
      </c>
    </row>
    <row r="17" spans="1:7" ht="12.75">
      <c r="A17" s="33" t="s">
        <v>951</v>
      </c>
      <c r="B17" s="34"/>
      <c r="C17" s="34"/>
      <c r="F17" s="355" t="s">
        <v>962</v>
      </c>
      <c r="G17" s="356"/>
    </row>
    <row r="18" spans="1:7" ht="12.75">
      <c r="A18" s="33" t="s">
        <v>953</v>
      </c>
      <c r="B18" s="34">
        <v>800</v>
      </c>
      <c r="C18" s="354">
        <f>B18*12+E12*G18</f>
        <v>14699.43</v>
      </c>
      <c r="F18" s="33" t="s">
        <v>964</v>
      </c>
      <c r="G18" s="357">
        <v>0.01</v>
      </c>
    </row>
    <row r="19" spans="1:3" ht="12.75">
      <c r="A19" s="33" t="s">
        <v>955</v>
      </c>
      <c r="B19" s="34">
        <v>90</v>
      </c>
      <c r="C19" s="354">
        <f>B19*H21</f>
        <v>2160</v>
      </c>
    </row>
    <row r="20" spans="1:8" ht="12.75">
      <c r="A20" s="33" t="s">
        <v>957</v>
      </c>
      <c r="B20" s="34">
        <v>150</v>
      </c>
      <c r="C20" s="354">
        <f>B20*12</f>
        <v>1800</v>
      </c>
      <c r="F20" s="355" t="s">
        <v>968</v>
      </c>
      <c r="G20" s="33" t="s">
        <v>969</v>
      </c>
      <c r="H20" s="33" t="s">
        <v>970</v>
      </c>
    </row>
    <row r="21" spans="1:8" ht="12.75">
      <c r="A21" s="33" t="s">
        <v>958</v>
      </c>
      <c r="B21" s="34">
        <v>2500</v>
      </c>
      <c r="C21" s="354">
        <f>B21*12</f>
        <v>30000</v>
      </c>
      <c r="F21" s="356"/>
      <c r="G21" s="33">
        <v>90</v>
      </c>
      <c r="H21" s="33">
        <v>24</v>
      </c>
    </row>
    <row r="22" spans="1:6" ht="12.75">
      <c r="A22" s="33" t="s">
        <v>959</v>
      </c>
      <c r="B22" s="34">
        <v>350</v>
      </c>
      <c r="C22" s="354">
        <f>B22*12</f>
        <v>4200</v>
      </c>
      <c r="F22" s="25" t="s">
        <v>676</v>
      </c>
    </row>
    <row r="23" spans="1:8" ht="12.75">
      <c r="A23" s="33" t="s">
        <v>961</v>
      </c>
      <c r="B23" s="34">
        <v>75</v>
      </c>
      <c r="C23" s="354">
        <f>B23*12</f>
        <v>900</v>
      </c>
      <c r="F23" s="155" t="s">
        <v>974</v>
      </c>
      <c r="G23" s="155" t="s">
        <v>975</v>
      </c>
      <c r="H23" s="155" t="s">
        <v>976</v>
      </c>
    </row>
    <row r="24" spans="1:8" ht="12.75">
      <c r="A24" s="358" t="s">
        <v>963</v>
      </c>
      <c r="B24" s="35"/>
      <c r="C24" s="359">
        <f>(C16+C18+C19+C21+C22+C23)</f>
        <v>70549.43</v>
      </c>
      <c r="F24" s="360">
        <f>INT(IF(H5/400&lt;1,1,H5/400))+1</f>
        <v>2</v>
      </c>
      <c r="G24" s="34">
        <f>550*1.3</f>
        <v>715</v>
      </c>
      <c r="H24" s="34">
        <f>G24*F24</f>
        <v>1430</v>
      </c>
    </row>
    <row r="25" spans="1:5" ht="12.75">
      <c r="A25" s="33"/>
      <c r="B25" s="33"/>
      <c r="C25" s="33"/>
      <c r="D25" s="33"/>
      <c r="E25" s="22"/>
    </row>
    <row r="26" spans="1:6" ht="12.75">
      <c r="A26" s="343" t="s">
        <v>965</v>
      </c>
      <c r="B26" s="361" t="s">
        <v>966</v>
      </c>
      <c r="C26" s="361" t="s">
        <v>945</v>
      </c>
      <c r="D26" s="131" t="s">
        <v>967</v>
      </c>
      <c r="F26" t="s">
        <v>1046</v>
      </c>
    </row>
    <row r="27" spans="1:10" ht="12.75">
      <c r="A27" s="33" t="s">
        <v>971</v>
      </c>
      <c r="B27" s="33">
        <v>3</v>
      </c>
      <c r="C27" s="362">
        <f>D27/B27</f>
        <v>21666.666666666668</v>
      </c>
      <c r="D27" s="34">
        <v>65000</v>
      </c>
      <c r="F27" s="160" t="s">
        <v>1047</v>
      </c>
      <c r="G27" s="160" t="s">
        <v>974</v>
      </c>
      <c r="H27" s="160" t="s">
        <v>1048</v>
      </c>
      <c r="I27" s="160" t="s">
        <v>1049</v>
      </c>
      <c r="J27" s="160" t="s">
        <v>1050</v>
      </c>
    </row>
    <row r="28" spans="1:10" ht="12.75">
      <c r="A28" s="33" t="s">
        <v>972</v>
      </c>
      <c r="B28" s="33">
        <v>1</v>
      </c>
      <c r="C28" s="354">
        <f>D28/B28</f>
        <v>28600</v>
      </c>
      <c r="D28" s="34">
        <v>28600</v>
      </c>
      <c r="F28" s="33" t="s">
        <v>1051</v>
      </c>
      <c r="G28" s="33">
        <v>180</v>
      </c>
      <c r="H28" s="33">
        <v>150</v>
      </c>
      <c r="I28" s="33">
        <v>440</v>
      </c>
      <c r="J28" s="33">
        <v>15</v>
      </c>
    </row>
    <row r="29" spans="1:10" ht="12.75">
      <c r="A29" s="363" t="s">
        <v>973</v>
      </c>
      <c r="B29" s="33">
        <v>1</v>
      </c>
      <c r="C29" s="354">
        <f>D29/B29</f>
        <v>135000</v>
      </c>
      <c r="D29" s="34">
        <f>180*750</f>
        <v>135000</v>
      </c>
      <c r="E29" s="364">
        <f>J28*30*2*0.07*G28+G29*J29*30*2*0.07+G30*J30*30*3*0.07+G31*J31*30*3*0.07</f>
        <v>34020.00000000001</v>
      </c>
      <c r="F29" s="33" t="s">
        <v>1052</v>
      </c>
      <c r="G29" s="33">
        <v>300</v>
      </c>
      <c r="H29" s="33">
        <v>150</v>
      </c>
      <c r="I29" s="33">
        <v>340</v>
      </c>
      <c r="J29" s="33">
        <v>8</v>
      </c>
    </row>
    <row r="30" spans="1:10" ht="12.75">
      <c r="A30" s="33" t="s">
        <v>977</v>
      </c>
      <c r="B30" s="365"/>
      <c r="C30" s="354">
        <f>G28*G136+G29*G147+G153+G31*G167</f>
        <v>4250.4</v>
      </c>
      <c r="D30" s="365"/>
      <c r="F30" s="33" t="s">
        <v>1053</v>
      </c>
      <c r="G30" s="33">
        <v>50</v>
      </c>
      <c r="H30" s="33">
        <v>340</v>
      </c>
      <c r="I30" s="33">
        <v>415</v>
      </c>
      <c r="J30" s="33">
        <v>4</v>
      </c>
    </row>
    <row r="31" spans="1:10" ht="12.75">
      <c r="A31" s="33" t="s">
        <v>1054</v>
      </c>
      <c r="B31" s="365"/>
      <c r="C31" s="354">
        <f>G28*H28*H37+G29*H29*H37+G30*H30*H39+G31*H31*H38</f>
        <v>195600</v>
      </c>
      <c r="D31" s="365"/>
      <c r="F31" s="33" t="s">
        <v>1055</v>
      </c>
      <c r="G31" s="33">
        <v>120</v>
      </c>
      <c r="H31" s="33">
        <v>150</v>
      </c>
      <c r="I31" s="33">
        <v>380</v>
      </c>
      <c r="J31" s="33">
        <v>15</v>
      </c>
    </row>
    <row r="32" spans="1:10" ht="12.75">
      <c r="A32" s="33"/>
      <c r="B32" s="365"/>
      <c r="C32" s="354"/>
      <c r="D32" s="365"/>
      <c r="F32" s="33"/>
      <c r="G32" s="33">
        <f>SUM(G28:G31)</f>
        <v>650</v>
      </c>
      <c r="H32" s="33"/>
      <c r="I32" s="33"/>
      <c r="J32" s="33"/>
    </row>
    <row r="33" spans="1:4" ht="12.75">
      <c r="A33" s="33" t="s">
        <v>981</v>
      </c>
      <c r="B33" s="365"/>
      <c r="C33" s="354">
        <v>0</v>
      </c>
      <c r="D33" s="365"/>
    </row>
    <row r="34" spans="1:4" ht="12.75">
      <c r="A34" s="343" t="s">
        <v>982</v>
      </c>
      <c r="B34" s="365"/>
      <c r="C34" s="354">
        <f>SUM(C27:C33)</f>
        <v>385117.06666666665</v>
      </c>
      <c r="D34" s="365"/>
    </row>
    <row r="35" spans="1:4" ht="12.75">
      <c r="A35" s="343" t="s">
        <v>984</v>
      </c>
      <c r="B35" s="365"/>
      <c r="C35" s="354">
        <f>C24+C34</f>
        <v>455666.49666666664</v>
      </c>
      <c r="D35" s="365"/>
    </row>
    <row r="36" spans="1:7" ht="12.75">
      <c r="A36" s="33"/>
      <c r="B36" s="365"/>
      <c r="C36" s="354"/>
      <c r="D36" s="365"/>
      <c r="G36" t="s">
        <v>1056</v>
      </c>
    </row>
    <row r="37" spans="1:8" ht="12.75">
      <c r="A37" s="343" t="s">
        <v>986</v>
      </c>
      <c r="B37" s="365"/>
      <c r="C37" s="354">
        <f>H13*H12-C35</f>
        <v>54276.503333333414</v>
      </c>
      <c r="D37" s="365"/>
      <c r="G37" s="33" t="s">
        <v>1034</v>
      </c>
      <c r="H37" s="33">
        <v>1.9</v>
      </c>
    </row>
    <row r="38" spans="7:8" ht="12.75">
      <c r="G38" s="33" t="s">
        <v>1057</v>
      </c>
      <c r="H38" s="33">
        <v>1.85</v>
      </c>
    </row>
    <row r="39" spans="3:8" ht="12.75">
      <c r="C39" s="620">
        <f>C37/(C35+B5*D5)</f>
        <v>0.04606861889800421</v>
      </c>
      <c r="G39" s="33" t="s">
        <v>1058</v>
      </c>
      <c r="H39" s="33">
        <v>1.5</v>
      </c>
    </row>
    <row r="40" spans="7:8" ht="12.75">
      <c r="G40" s="33"/>
      <c r="H40" s="33"/>
    </row>
    <row r="41" spans="7:8" ht="12.75">
      <c r="G41" s="33"/>
      <c r="H41" s="33"/>
    </row>
    <row r="42" spans="1:7" ht="12.75">
      <c r="A42" s="366"/>
      <c r="B42" t="s">
        <v>989</v>
      </c>
      <c r="G42" s="356"/>
    </row>
    <row r="44" spans="2:6" ht="18">
      <c r="B44" s="1088" t="s">
        <v>990</v>
      </c>
      <c r="C44" s="1088"/>
      <c r="D44" s="1088"/>
      <c r="E44" s="1088"/>
      <c r="F44" s="1088"/>
    </row>
    <row r="45" spans="4:6" ht="12.75">
      <c r="D45" s="366" t="s">
        <v>991</v>
      </c>
      <c r="E45" s="366"/>
      <c r="F45" s="367">
        <v>0.05</v>
      </c>
    </row>
    <row r="46" spans="1:2" ht="12.75">
      <c r="A46" s="33" t="s">
        <v>992</v>
      </c>
      <c r="B46" s="34">
        <f>C37/B5</f>
        <v>63.854709803921665</v>
      </c>
    </row>
    <row r="47" spans="1:7" ht="12.75">
      <c r="A47" s="33" t="s">
        <v>993</v>
      </c>
      <c r="B47" s="34">
        <f>D5*F45</f>
        <v>42.5</v>
      </c>
      <c r="C47" s="351"/>
      <c r="F47">
        <v>750</v>
      </c>
      <c r="G47" t="s">
        <v>1059</v>
      </c>
    </row>
    <row r="48" spans="6:7" ht="12.75">
      <c r="F48">
        <f>1*H13</f>
        <v>2.101999596041204</v>
      </c>
      <c r="G48" t="s">
        <v>1060</v>
      </c>
    </row>
    <row r="49" ht="12.75">
      <c r="A49" s="25" t="s">
        <v>1061</v>
      </c>
    </row>
    <row r="50" spans="1:8" ht="12.75">
      <c r="A50" s="33">
        <v>650</v>
      </c>
      <c r="B50" s="33" t="s">
        <v>1062</v>
      </c>
      <c r="C50" s="33"/>
      <c r="D50" s="357">
        <v>0.12</v>
      </c>
      <c r="E50" s="33" t="s">
        <v>1063</v>
      </c>
      <c r="F50" s="33"/>
      <c r="G50" s="33">
        <v>365</v>
      </c>
      <c r="H50" s="33" t="s">
        <v>1064</v>
      </c>
    </row>
    <row r="51" spans="1:2" ht="13.5" thickBot="1">
      <c r="A51" s="33" t="s">
        <v>1065</v>
      </c>
      <c r="B51" s="33">
        <f>A50*F47*D50*F48*G50/1000</f>
        <v>44882.94637446981</v>
      </c>
    </row>
    <row r="52" spans="1:8" ht="13.5" thickBot="1">
      <c r="A52" s="33" t="s">
        <v>988</v>
      </c>
      <c r="B52" s="368">
        <f>B51/(B5*D5)</f>
        <v>0.06212172508577136</v>
      </c>
      <c r="E52" s="177" t="s">
        <v>985</v>
      </c>
      <c r="F52" s="178"/>
      <c r="G52" s="178"/>
      <c r="H52" s="369">
        <f>C35/H12</f>
        <v>1.878270300647021</v>
      </c>
    </row>
    <row r="53" spans="5:8" ht="13.5" thickBot="1">
      <c r="E53" s="177" t="s">
        <v>987</v>
      </c>
      <c r="F53" s="178"/>
      <c r="G53" s="178"/>
      <c r="H53" s="370">
        <f>C35/H13</f>
        <v>216777.63284295824</v>
      </c>
    </row>
    <row r="56" spans="1:2" ht="12.75">
      <c r="A56" s="351">
        <f>1*C37</f>
        <v>54276.503333333414</v>
      </c>
      <c r="B56" t="s">
        <v>999</v>
      </c>
    </row>
    <row r="57" spans="1:2" ht="12.75">
      <c r="A57">
        <f>B5*D5*F45</f>
        <v>36125</v>
      </c>
      <c r="B57" t="s">
        <v>1000</v>
      </c>
    </row>
    <row r="58" spans="1:2" ht="12.75">
      <c r="A58" s="351">
        <f>1*B51</f>
        <v>44882.94637446981</v>
      </c>
      <c r="B58" t="s">
        <v>1066</v>
      </c>
    </row>
    <row r="60" spans="1:7" ht="12.75">
      <c r="A60" s="324" t="s">
        <v>1001</v>
      </c>
      <c r="B60" s="324" t="s">
        <v>1002</v>
      </c>
      <c r="C60" s="324" t="s">
        <v>1003</v>
      </c>
      <c r="D60" s="324" t="s">
        <v>1004</v>
      </c>
      <c r="E60" s="324" t="s">
        <v>1005</v>
      </c>
      <c r="F60" s="324" t="s">
        <v>1006</v>
      </c>
      <c r="G60" s="324" t="s">
        <v>1007</v>
      </c>
    </row>
    <row r="61" spans="1:7" ht="12.75">
      <c r="A61" s="155">
        <f>C37/H12</f>
        <v>0.22372929539418304</v>
      </c>
      <c r="B61" s="155">
        <f>A57/H12</f>
        <v>0.1489082807431193</v>
      </c>
      <c r="C61" s="155">
        <f>A58/H12</f>
        <v>0.18500878558637837</v>
      </c>
      <c r="D61" s="341">
        <f>A61-B61</f>
        <v>0.07482101465106375</v>
      </c>
      <c r="E61" s="155">
        <f>A61-C61</f>
        <v>0.03872050980780467</v>
      </c>
      <c r="F61" s="371">
        <f>H13-D61</f>
        <v>2.02717858139014</v>
      </c>
      <c r="G61" s="341">
        <f>H13-E61</f>
        <v>2.0632790862333996</v>
      </c>
    </row>
    <row r="63" spans="1:2" ht="12.75">
      <c r="A63" s="22" t="s">
        <v>1008</v>
      </c>
      <c r="B63" t="s">
        <v>1009</v>
      </c>
    </row>
    <row r="64" spans="1:2" ht="12.75">
      <c r="A64" s="372" t="s">
        <v>1007</v>
      </c>
      <c r="B64" t="s">
        <v>1067</v>
      </c>
    </row>
    <row r="121" ht="12.75">
      <c r="A121" t="s">
        <v>1011</v>
      </c>
    </row>
    <row r="122" spans="1:6" ht="12.75">
      <c r="A122" t="s">
        <v>1068</v>
      </c>
      <c r="B122" t="s">
        <v>1013</v>
      </c>
      <c r="C122" t="s">
        <v>1014</v>
      </c>
      <c r="D122" t="s">
        <v>1015</v>
      </c>
      <c r="E122" t="s">
        <v>1016</v>
      </c>
      <c r="F122" t="s">
        <v>1017</v>
      </c>
    </row>
    <row r="123" spans="1:2" ht="12.75">
      <c r="A123" t="s">
        <v>1019</v>
      </c>
      <c r="B123">
        <v>2.5</v>
      </c>
    </row>
    <row r="124" ht="12.75">
      <c r="A124" t="s">
        <v>1020</v>
      </c>
    </row>
    <row r="125" ht="12.75">
      <c r="A125" t="s">
        <v>1021</v>
      </c>
    </row>
    <row r="126" ht="12.75">
      <c r="A126" t="s">
        <v>1022</v>
      </c>
    </row>
    <row r="127" ht="12.75">
      <c r="A127" t="s">
        <v>1023</v>
      </c>
    </row>
    <row r="128" spans="1:6" ht="12.75">
      <c r="A128" t="s">
        <v>1024</v>
      </c>
      <c r="F128">
        <v>7.5</v>
      </c>
    </row>
    <row r="129" spans="1:3" ht="12.75">
      <c r="A129" t="s">
        <v>1025</v>
      </c>
      <c r="C129">
        <v>0.65</v>
      </c>
    </row>
    <row r="130" spans="1:3" ht="12.75">
      <c r="A130" t="s">
        <v>1026</v>
      </c>
      <c r="C130">
        <v>0.6</v>
      </c>
    </row>
    <row r="131" ht="12.75">
      <c r="A131" t="s">
        <v>1027</v>
      </c>
    </row>
    <row r="132" spans="1:5" ht="12.75">
      <c r="A132" t="s">
        <v>1028</v>
      </c>
      <c r="E132">
        <v>0.25</v>
      </c>
    </row>
    <row r="133" spans="1:5" ht="12.75">
      <c r="A133" t="s">
        <v>1029</v>
      </c>
      <c r="E133">
        <v>0.2</v>
      </c>
    </row>
    <row r="134" spans="1:4" ht="12.75">
      <c r="A134" t="s">
        <v>1030</v>
      </c>
      <c r="D134">
        <f>0.35*3</f>
        <v>1.0499999999999998</v>
      </c>
    </row>
    <row r="135" spans="1:4" ht="12.75">
      <c r="A135" t="s">
        <v>1031</v>
      </c>
      <c r="D135">
        <v>0.22</v>
      </c>
    </row>
    <row r="136" spans="1:7" ht="12.75">
      <c r="A136" t="s">
        <v>1032</v>
      </c>
      <c r="B136">
        <f>SUM(B123:B135)</f>
        <v>2.5</v>
      </c>
      <c r="C136">
        <f>SUM(C123:C135)</f>
        <v>1.25</v>
      </c>
      <c r="D136">
        <f>SUM(D123:D135)</f>
        <v>1.2699999999999998</v>
      </c>
      <c r="E136">
        <f>SUM(E123:E135)</f>
        <v>0.45</v>
      </c>
      <c r="F136">
        <f>SUM(F123:F135)</f>
        <v>7.5</v>
      </c>
      <c r="G136">
        <f>SUM(B136:F136)</f>
        <v>12.969999999999999</v>
      </c>
    </row>
    <row r="137" ht="12.75">
      <c r="A137" t="s">
        <v>1069</v>
      </c>
    </row>
    <row r="138" spans="1:2" ht="12.75">
      <c r="A138" t="s">
        <v>1019</v>
      </c>
      <c r="B138">
        <v>2.3</v>
      </c>
    </row>
    <row r="139" ht="12.75">
      <c r="A139" t="s">
        <v>1020</v>
      </c>
    </row>
    <row r="140" ht="12.75">
      <c r="A140" t="s">
        <v>1021</v>
      </c>
    </row>
    <row r="141" ht="12.75">
      <c r="A141" t="s">
        <v>1022</v>
      </c>
    </row>
    <row r="142" ht="12.75">
      <c r="A142" t="s">
        <v>1027</v>
      </c>
    </row>
    <row r="143" spans="1:3" ht="12.75">
      <c r="A143" t="s">
        <v>1025</v>
      </c>
      <c r="C143">
        <v>0.65</v>
      </c>
    </row>
    <row r="144" spans="1:5" ht="12.75">
      <c r="A144" t="s">
        <v>1028</v>
      </c>
      <c r="E144">
        <v>0.22</v>
      </c>
    </row>
    <row r="145" spans="1:5" ht="12.75">
      <c r="A145" t="s">
        <v>1029</v>
      </c>
      <c r="E145">
        <v>0.2</v>
      </c>
    </row>
    <row r="146" spans="1:3" ht="12.75">
      <c r="A146" t="s">
        <v>1026</v>
      </c>
      <c r="C146">
        <v>0.75</v>
      </c>
    </row>
    <row r="147" spans="1:7" ht="12.75">
      <c r="A147" t="s">
        <v>1032</v>
      </c>
      <c r="B147">
        <f>SUM(B138:B146)</f>
        <v>2.3</v>
      </c>
      <c r="C147">
        <f>SUM(C138:C146)</f>
        <v>1.4</v>
      </c>
      <c r="D147">
        <f>SUM(D138:D146)</f>
        <v>0</v>
      </c>
      <c r="E147">
        <f>SUM(E138:E146)</f>
        <v>0.42000000000000004</v>
      </c>
      <c r="F147">
        <f>SUM(F138:F146)</f>
        <v>0</v>
      </c>
      <c r="G147">
        <f>SUM(B147:F147)</f>
        <v>4.12</v>
      </c>
    </row>
    <row r="148" ht="12.75">
      <c r="A148" t="s">
        <v>1070</v>
      </c>
    </row>
    <row r="149" spans="1:2" ht="12.75">
      <c r="A149" t="s">
        <v>1020</v>
      </c>
      <c r="B149">
        <v>2.5</v>
      </c>
    </row>
    <row r="150" ht="12.75">
      <c r="A150" t="s">
        <v>1035</v>
      </c>
    </row>
    <row r="151" spans="1:5" ht="12.75">
      <c r="A151" t="s">
        <v>1029</v>
      </c>
      <c r="E151">
        <v>0.65</v>
      </c>
    </row>
    <row r="152" spans="1:4" ht="12.75">
      <c r="A152" t="s">
        <v>1036</v>
      </c>
      <c r="D152">
        <f>0.35*3</f>
        <v>1.0499999999999998</v>
      </c>
    </row>
    <row r="153" spans="1:7" ht="12.75">
      <c r="A153" t="s">
        <v>1032</v>
      </c>
      <c r="B153">
        <f>SUM(B149:B152)</f>
        <v>2.5</v>
      </c>
      <c r="C153">
        <f>SUM(C149:C152)</f>
        <v>0</v>
      </c>
      <c r="D153">
        <f>SUM(D149:D152)</f>
        <v>1.0499999999999998</v>
      </c>
      <c r="E153">
        <f>SUM(E149:E152)</f>
        <v>0.65</v>
      </c>
      <c r="F153">
        <f>SUM(F149:F152)</f>
        <v>0</v>
      </c>
      <c r="G153">
        <f>SUM(B153:F153)</f>
        <v>4.2</v>
      </c>
    </row>
    <row r="154" ht="12.75">
      <c r="A154" t="s">
        <v>1037</v>
      </c>
    </row>
    <row r="155" spans="1:2" ht="12.75">
      <c r="A155" t="s">
        <v>1019</v>
      </c>
      <c r="B155">
        <v>2.5</v>
      </c>
    </row>
    <row r="156" ht="12.75">
      <c r="A156" t="s">
        <v>1020</v>
      </c>
    </row>
    <row r="157" ht="12.75">
      <c r="A157" t="s">
        <v>1021</v>
      </c>
    </row>
    <row r="158" ht="12.75">
      <c r="A158" t="s">
        <v>1022</v>
      </c>
    </row>
    <row r="159" ht="12.75">
      <c r="A159" t="s">
        <v>1027</v>
      </c>
    </row>
    <row r="160" spans="1:3" ht="12.75">
      <c r="A160" t="s">
        <v>1025</v>
      </c>
      <c r="C160">
        <v>0.65</v>
      </c>
    </row>
    <row r="161" spans="1:3" ht="12.75">
      <c r="A161" t="s">
        <v>1026</v>
      </c>
      <c r="C161">
        <v>0.68</v>
      </c>
    </row>
    <row r="162" spans="1:3" ht="12.75">
      <c r="A162" t="s">
        <v>1028</v>
      </c>
      <c r="C162">
        <v>0.25</v>
      </c>
    </row>
    <row r="163" spans="1:5" ht="12.75">
      <c r="A163" t="s">
        <v>1035</v>
      </c>
      <c r="E163">
        <v>0.25</v>
      </c>
    </row>
    <row r="164" spans="1:5" ht="12.75">
      <c r="A164" t="s">
        <v>1029</v>
      </c>
      <c r="E164">
        <v>0.45</v>
      </c>
    </row>
    <row r="165" spans="1:4" ht="12.75">
      <c r="A165" t="s">
        <v>1036</v>
      </c>
      <c r="D165">
        <v>0.85</v>
      </c>
    </row>
    <row r="166" ht="12.75">
      <c r="A166" t="s">
        <v>1024</v>
      </c>
    </row>
    <row r="167" spans="2:7" ht="12.75">
      <c r="B167">
        <f>SUM(B155:B166)</f>
        <v>2.5</v>
      </c>
      <c r="C167">
        <f>SUM(C155:C166)</f>
        <v>1.58</v>
      </c>
      <c r="D167">
        <f>SUM(D155:D166)</f>
        <v>0.85</v>
      </c>
      <c r="E167">
        <f>SUM(E155:E166)</f>
        <v>0.7</v>
      </c>
      <c r="F167">
        <f>SUM(F155:F166)</f>
        <v>0</v>
      </c>
      <c r="G167">
        <f>SUM(B167:F167)</f>
        <v>5.63</v>
      </c>
    </row>
  </sheetData>
  <sheetProtection/>
  <mergeCells count="2">
    <mergeCell ref="A3:I3"/>
    <mergeCell ref="B44:F44"/>
  </mergeCells>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C12" sqref="C12"/>
    </sheetView>
  </sheetViews>
  <sheetFormatPr defaultColWidth="11.421875" defaultRowHeight="12.75"/>
  <cols>
    <col min="2" max="2" width="12.8515625" style="0" customWidth="1"/>
    <col min="3" max="3" width="15.8515625" style="0" customWidth="1"/>
    <col min="4" max="5" width="13.00390625" style="0" customWidth="1"/>
    <col min="6" max="6" width="12.140625" style="0" customWidth="1"/>
    <col min="7" max="7" width="17.28125" style="0" customWidth="1"/>
  </cols>
  <sheetData>
    <row r="1" spans="1:7" ht="18">
      <c r="A1" s="1169" t="s">
        <v>1071</v>
      </c>
      <c r="B1" s="1169"/>
      <c r="C1" s="1169"/>
      <c r="D1" s="1169"/>
      <c r="E1" s="1169"/>
      <c r="F1" s="1169"/>
      <c r="G1" s="1169"/>
    </row>
    <row r="2" spans="1:7" ht="13.5" thickBot="1">
      <c r="A2" s="356" t="s">
        <v>1072</v>
      </c>
      <c r="B2" s="356"/>
      <c r="C2" s="356"/>
      <c r="D2" s="356"/>
      <c r="E2" s="356"/>
      <c r="F2" s="356"/>
      <c r="G2" s="356"/>
    </row>
    <row r="3" spans="1:7" ht="13.5" thickBot="1">
      <c r="A3" s="1170" t="s">
        <v>1073</v>
      </c>
      <c r="B3" s="373" t="s">
        <v>1074</v>
      </c>
      <c r="C3" s="373" t="s">
        <v>1075</v>
      </c>
      <c r="D3" s="1172" t="s">
        <v>1076</v>
      </c>
      <c r="E3" s="1173"/>
      <c r="F3" s="374" t="s">
        <v>1077</v>
      </c>
      <c r="G3" s="373" t="s">
        <v>1078</v>
      </c>
    </row>
    <row r="4" spans="1:7" ht="13.5" thickBot="1">
      <c r="A4" s="1171"/>
      <c r="B4" s="376" t="s">
        <v>1075</v>
      </c>
      <c r="C4" s="376" t="s">
        <v>1079</v>
      </c>
      <c r="D4" s="377" t="s">
        <v>1080</v>
      </c>
      <c r="E4" s="376" t="s">
        <v>1081</v>
      </c>
      <c r="F4" s="376" t="s">
        <v>1082</v>
      </c>
      <c r="G4" s="376" t="s">
        <v>1083</v>
      </c>
    </row>
    <row r="5" spans="1:7" ht="12.75">
      <c r="A5" s="59"/>
      <c r="B5" s="59"/>
      <c r="C5" s="59"/>
      <c r="D5" s="356"/>
      <c r="E5" s="59"/>
      <c r="F5" s="59"/>
      <c r="G5" s="59"/>
    </row>
    <row r="6" spans="1:7" ht="12.75">
      <c r="A6" s="378"/>
      <c r="B6" s="378"/>
      <c r="C6" s="378"/>
      <c r="D6" s="147"/>
      <c r="E6" s="378"/>
      <c r="F6" s="378"/>
      <c r="G6" s="378"/>
    </row>
    <row r="7" spans="1:7" ht="12.75">
      <c r="A7" s="378"/>
      <c r="B7" s="378"/>
      <c r="C7" s="378"/>
      <c r="D7" s="147"/>
      <c r="E7" s="378"/>
      <c r="F7" s="378"/>
      <c r="G7" s="378"/>
    </row>
    <row r="8" spans="1:7" ht="12.75">
      <c r="A8" s="378"/>
      <c r="B8" s="378"/>
      <c r="C8" s="378"/>
      <c r="D8" s="147"/>
      <c r="E8" s="378"/>
      <c r="F8" s="378"/>
      <c r="G8" s="378"/>
    </row>
    <row r="9" spans="1:7" ht="12.75">
      <c r="A9" s="378"/>
      <c r="B9" s="378"/>
      <c r="C9" s="378"/>
      <c r="D9" s="147"/>
      <c r="E9" s="378"/>
      <c r="F9" s="378"/>
      <c r="G9" s="378"/>
    </row>
    <row r="10" spans="1:7" ht="12.75">
      <c r="A10" s="378"/>
      <c r="B10" s="378"/>
      <c r="C10" s="378"/>
      <c r="D10" s="147"/>
      <c r="E10" s="378"/>
      <c r="F10" s="378"/>
      <c r="G10" s="378"/>
    </row>
    <row r="11" spans="1:7" ht="12.75">
      <c r="A11" s="378"/>
      <c r="B11" s="378"/>
      <c r="C11" s="378"/>
      <c r="D11" s="147"/>
      <c r="E11" s="378"/>
      <c r="F11" s="378"/>
      <c r="G11" s="378"/>
    </row>
    <row r="12" spans="1:7" ht="12.75">
      <c r="A12" s="378"/>
      <c r="B12" s="378"/>
      <c r="C12" s="378"/>
      <c r="D12" s="147"/>
      <c r="E12" s="378"/>
      <c r="F12" s="378"/>
      <c r="G12" s="378"/>
    </row>
    <row r="13" spans="1:7" ht="12.75">
      <c r="A13" s="378"/>
      <c r="B13" s="378"/>
      <c r="C13" s="378"/>
      <c r="D13" s="147"/>
      <c r="E13" s="378"/>
      <c r="F13" s="378"/>
      <c r="G13" s="378"/>
    </row>
    <row r="14" spans="1:7" ht="12.75">
      <c r="A14" s="378"/>
      <c r="B14" s="378"/>
      <c r="C14" s="378"/>
      <c r="D14" s="147"/>
      <c r="E14" s="378"/>
      <c r="F14" s="378"/>
      <c r="G14" s="378"/>
    </row>
    <row r="15" spans="1:7" ht="12.75">
      <c r="A15" s="59"/>
      <c r="B15" s="59"/>
      <c r="C15" s="59"/>
      <c r="D15" s="356"/>
      <c r="E15" s="59"/>
      <c r="F15" s="59"/>
      <c r="G15" s="59"/>
    </row>
    <row r="16" spans="1:7" ht="12.75">
      <c r="A16" s="378"/>
      <c r="B16" s="378"/>
      <c r="C16" s="378"/>
      <c r="D16" s="147"/>
      <c r="E16" s="378"/>
      <c r="F16" s="378"/>
      <c r="G16" s="378"/>
    </row>
    <row r="17" spans="1:7" ht="12.75">
      <c r="A17" s="378"/>
      <c r="B17" s="378"/>
      <c r="C17" s="378"/>
      <c r="D17" s="147"/>
      <c r="E17" s="378"/>
      <c r="F17" s="378"/>
      <c r="G17" s="378"/>
    </row>
    <row r="18" spans="1:7" ht="12.75">
      <c r="A18" s="378"/>
      <c r="B18" s="378"/>
      <c r="C18" s="378"/>
      <c r="D18" s="147"/>
      <c r="E18" s="378"/>
      <c r="F18" s="378"/>
      <c r="G18" s="378"/>
    </row>
    <row r="19" spans="1:7" ht="12.75">
      <c r="A19" s="378"/>
      <c r="B19" s="378"/>
      <c r="C19" s="378"/>
      <c r="D19" s="147"/>
      <c r="E19" s="378"/>
      <c r="F19" s="378"/>
      <c r="G19" s="378"/>
    </row>
    <row r="20" spans="1:7" ht="12.75">
      <c r="A20" s="378"/>
      <c r="B20" s="378"/>
      <c r="C20" s="378"/>
      <c r="D20" s="147"/>
      <c r="E20" s="378"/>
      <c r="F20" s="378"/>
      <c r="G20" s="378"/>
    </row>
    <row r="21" spans="1:7" ht="12.75">
      <c r="A21" s="378"/>
      <c r="B21" s="378"/>
      <c r="C21" s="378"/>
      <c r="D21" s="147"/>
      <c r="E21" s="378"/>
      <c r="F21" s="378"/>
      <c r="G21" s="378"/>
    </row>
    <row r="22" spans="1:7" ht="12.75">
      <c r="A22" s="378"/>
      <c r="B22" s="378"/>
      <c r="C22" s="378"/>
      <c r="D22" s="147"/>
      <c r="E22" s="378"/>
      <c r="F22" s="378"/>
      <c r="G22" s="378"/>
    </row>
    <row r="23" spans="1:7" ht="12.75">
      <c r="A23" s="378"/>
      <c r="B23" s="378"/>
      <c r="C23" s="378"/>
      <c r="D23" s="147"/>
      <c r="E23" s="378"/>
      <c r="F23" s="378"/>
      <c r="G23" s="378"/>
    </row>
    <row r="24" spans="1:7" ht="12.75">
      <c r="A24" s="378"/>
      <c r="B24" s="378"/>
      <c r="C24" s="378"/>
      <c r="D24" s="147"/>
      <c r="E24" s="378"/>
      <c r="F24" s="378"/>
      <c r="G24" s="378"/>
    </row>
    <row r="25" spans="1:7" ht="12.75">
      <c r="A25" s="378"/>
      <c r="B25" s="378"/>
      <c r="C25" s="378"/>
      <c r="D25" s="147"/>
      <c r="E25" s="378"/>
      <c r="F25" s="378"/>
      <c r="G25" s="378"/>
    </row>
    <row r="26" spans="1:7" ht="12.75">
      <c r="A26" s="378"/>
      <c r="B26" s="378"/>
      <c r="C26" s="378"/>
      <c r="D26" s="147"/>
      <c r="E26" s="378"/>
      <c r="F26" s="378"/>
      <c r="G26" s="378"/>
    </row>
    <row r="27" spans="1:7" ht="12.75">
      <c r="A27" s="378"/>
      <c r="B27" s="378"/>
      <c r="C27" s="378"/>
      <c r="D27" s="147"/>
      <c r="E27" s="378"/>
      <c r="F27" s="378"/>
      <c r="G27" s="378"/>
    </row>
    <row r="28" spans="1:7" ht="12.75">
      <c r="A28" s="378"/>
      <c r="B28" s="378"/>
      <c r="C28" s="378"/>
      <c r="D28" s="147"/>
      <c r="E28" s="378"/>
      <c r="F28" s="378"/>
      <c r="G28" s="378"/>
    </row>
    <row r="29" spans="1:7" ht="12.75">
      <c r="A29" s="378"/>
      <c r="B29" s="378"/>
      <c r="C29" s="378"/>
      <c r="D29" s="147"/>
      <c r="E29" s="378"/>
      <c r="F29" s="378"/>
      <c r="G29" s="378"/>
    </row>
    <row r="30" spans="1:7" ht="12.75">
      <c r="A30" s="378"/>
      <c r="B30" s="378"/>
      <c r="C30" s="378"/>
      <c r="D30" s="147"/>
      <c r="E30" s="378"/>
      <c r="F30" s="378"/>
      <c r="G30" s="378"/>
    </row>
    <row r="31" spans="1:7" ht="12.75">
      <c r="A31" s="378"/>
      <c r="B31" s="378"/>
      <c r="C31" s="378"/>
      <c r="D31" s="147"/>
      <c r="E31" s="378"/>
      <c r="F31" s="378"/>
      <c r="G31" s="378"/>
    </row>
    <row r="32" spans="1:7" ht="13.5" thickBot="1">
      <c r="A32" s="379"/>
      <c r="B32" s="379"/>
      <c r="C32" s="379"/>
      <c r="D32" s="380"/>
      <c r="E32" s="379"/>
      <c r="F32" s="379"/>
      <c r="G32" s="379"/>
    </row>
    <row r="33" spans="1:7" ht="12.75">
      <c r="A33" s="381"/>
      <c r="B33" s="381"/>
      <c r="C33" s="381"/>
      <c r="D33" s="382"/>
      <c r="E33" s="381"/>
      <c r="F33" s="381"/>
      <c r="G33" s="381"/>
    </row>
    <row r="34" spans="1:7" ht="12.75">
      <c r="A34" s="378"/>
      <c r="B34" s="378"/>
      <c r="C34" s="378"/>
      <c r="D34" s="147"/>
      <c r="E34" s="378"/>
      <c r="F34" s="378"/>
      <c r="G34" s="378"/>
    </row>
    <row r="35" spans="1:7" ht="12.75">
      <c r="A35" s="378"/>
      <c r="B35" s="378"/>
      <c r="C35" s="378"/>
      <c r="D35" s="147"/>
      <c r="E35" s="378"/>
      <c r="F35" s="378"/>
      <c r="G35" s="378"/>
    </row>
    <row r="36" spans="1:7" ht="12.75">
      <c r="A36" s="378"/>
      <c r="B36" s="378"/>
      <c r="C36" s="378"/>
      <c r="D36" s="147"/>
      <c r="E36" s="378"/>
      <c r="F36" s="378"/>
      <c r="G36" s="378"/>
    </row>
    <row r="37" spans="1:7" ht="12.75">
      <c r="A37" s="378"/>
      <c r="B37" s="378"/>
      <c r="C37" s="378"/>
      <c r="D37" s="147"/>
      <c r="E37" s="378"/>
      <c r="F37" s="378"/>
      <c r="G37" s="378"/>
    </row>
    <row r="38" spans="1:7" ht="12.75">
      <c r="A38" s="378"/>
      <c r="B38" s="378"/>
      <c r="C38" s="378"/>
      <c r="D38" s="147"/>
      <c r="E38" s="378"/>
      <c r="F38" s="378"/>
      <c r="G38" s="378"/>
    </row>
    <row r="39" spans="1:7" ht="12.75">
      <c r="A39" s="378"/>
      <c r="B39" s="378"/>
      <c r="C39" s="378"/>
      <c r="D39" s="147"/>
      <c r="E39" s="378"/>
      <c r="F39" s="378"/>
      <c r="G39" s="378"/>
    </row>
    <row r="40" spans="1:7" ht="12.75">
      <c r="A40" s="378"/>
      <c r="B40" s="378"/>
      <c r="C40" s="378"/>
      <c r="D40" s="147"/>
      <c r="E40" s="378"/>
      <c r="F40" s="378"/>
      <c r="G40" s="378"/>
    </row>
  </sheetData>
  <sheetProtection/>
  <mergeCells count="3">
    <mergeCell ref="A1:G1"/>
    <mergeCell ref="A3:A4"/>
    <mergeCell ref="D3:E3"/>
  </mergeCells>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H47"/>
  <sheetViews>
    <sheetView showGridLines="0" zoomScalePageLayoutView="0" workbookViewId="0" topLeftCell="A1">
      <selection activeCell="D8" sqref="D8"/>
    </sheetView>
  </sheetViews>
  <sheetFormatPr defaultColWidth="11.421875" defaultRowHeight="12.75"/>
  <cols>
    <col min="2" max="2" width="18.140625" style="0" customWidth="1"/>
    <col min="3" max="3" width="17.8515625" style="0" customWidth="1"/>
    <col min="4" max="4" width="12.421875" style="0" customWidth="1"/>
    <col min="5" max="5" width="13.57421875" style="0" customWidth="1"/>
    <col min="6" max="6" width="13.28125" style="0" customWidth="1"/>
    <col min="7" max="7" width="14.421875" style="0" customWidth="1"/>
    <col min="8" max="8" width="32.57421875" style="0" customWidth="1"/>
  </cols>
  <sheetData>
    <row r="1" spans="1:7" ht="13.5" thickBot="1">
      <c r="A1" s="632" t="s">
        <v>1084</v>
      </c>
      <c r="B1" s="631"/>
      <c r="D1" s="520" t="s">
        <v>1072</v>
      </c>
      <c r="E1" s="178"/>
      <c r="F1" s="178"/>
      <c r="G1" s="633"/>
    </row>
    <row r="2" spans="1:2" ht="13.5" thickBot="1">
      <c r="A2" s="632" t="s">
        <v>1085</v>
      </c>
      <c r="B2" s="631"/>
    </row>
    <row r="3" spans="1:8" ht="13.5" thickBot="1">
      <c r="A3" s="1174" t="s">
        <v>1073</v>
      </c>
      <c r="B3" s="1179" t="s">
        <v>1086</v>
      </c>
      <c r="C3" s="1181" t="s">
        <v>1087</v>
      </c>
      <c r="D3" s="1182"/>
      <c r="E3" s="621" t="s">
        <v>1043</v>
      </c>
      <c r="F3" s="1174" t="s">
        <v>1088</v>
      </c>
      <c r="G3" s="622" t="s">
        <v>1089</v>
      </c>
      <c r="H3" s="1174" t="s">
        <v>1090</v>
      </c>
    </row>
    <row r="4" spans="1:8" ht="12.75">
      <c r="A4" s="1178"/>
      <c r="B4" s="1180" t="s">
        <v>1091</v>
      </c>
      <c r="C4" s="1174" t="s">
        <v>1092</v>
      </c>
      <c r="D4" s="1174" t="s">
        <v>1093</v>
      </c>
      <c r="E4" s="623" t="s">
        <v>1094</v>
      </c>
      <c r="F4" s="1178"/>
      <c r="G4" s="624" t="s">
        <v>1095</v>
      </c>
      <c r="H4" s="1175"/>
    </row>
    <row r="5" spans="1:8" ht="13.5" thickBot="1">
      <c r="A5" s="1177"/>
      <c r="B5" s="1083"/>
      <c r="C5" s="1177"/>
      <c r="D5" s="1177"/>
      <c r="E5" s="625"/>
      <c r="F5" s="1177"/>
      <c r="G5" s="626" t="s">
        <v>1096</v>
      </c>
      <c r="H5" s="1176"/>
    </row>
    <row r="6" spans="1:8" ht="12.75">
      <c r="A6" s="59"/>
      <c r="B6" s="59"/>
      <c r="D6" s="59"/>
      <c r="E6" s="59"/>
      <c r="G6" s="59"/>
      <c r="H6" s="59"/>
    </row>
    <row r="7" spans="1:8" ht="12.75">
      <c r="A7" s="378"/>
      <c r="B7" s="378"/>
      <c r="C7" s="147"/>
      <c r="D7" s="378"/>
      <c r="E7" s="378"/>
      <c r="F7" s="147"/>
      <c r="G7" s="378"/>
      <c r="H7" s="378"/>
    </row>
    <row r="8" spans="1:8" ht="12.75">
      <c r="A8" s="378"/>
      <c r="B8" s="378"/>
      <c r="C8" s="147"/>
      <c r="D8" s="378"/>
      <c r="E8" s="378"/>
      <c r="F8" s="147"/>
      <c r="G8" s="378"/>
      <c r="H8" s="378"/>
    </row>
    <row r="9" spans="1:8" ht="12.75">
      <c r="A9" s="378"/>
      <c r="B9" s="378"/>
      <c r="C9" s="147"/>
      <c r="D9" s="378"/>
      <c r="E9" s="378"/>
      <c r="F9" s="147"/>
      <c r="G9" s="378"/>
      <c r="H9" s="378"/>
    </row>
    <row r="10" spans="1:8" ht="12.75">
      <c r="A10" s="378"/>
      <c r="B10" s="378"/>
      <c r="C10" s="147"/>
      <c r="D10" s="378"/>
      <c r="E10" s="378"/>
      <c r="F10" s="147"/>
      <c r="G10" s="378"/>
      <c r="H10" s="378"/>
    </row>
    <row r="11" spans="1:8" ht="12.75">
      <c r="A11" s="378"/>
      <c r="B11" s="378"/>
      <c r="C11" s="147"/>
      <c r="D11" s="378"/>
      <c r="E11" s="378"/>
      <c r="F11" s="147"/>
      <c r="G11" s="378"/>
      <c r="H11" s="378"/>
    </row>
    <row r="12" spans="1:8" ht="12.75">
      <c r="A12" s="378"/>
      <c r="B12" s="378"/>
      <c r="C12" s="147"/>
      <c r="D12" s="378"/>
      <c r="E12" s="378"/>
      <c r="F12" s="147"/>
      <c r="G12" s="378"/>
      <c r="H12" s="378"/>
    </row>
    <row r="13" spans="1:8" ht="12.75">
      <c r="A13" s="378"/>
      <c r="B13" s="378"/>
      <c r="C13" s="147"/>
      <c r="D13" s="378"/>
      <c r="E13" s="378"/>
      <c r="F13" s="147"/>
      <c r="G13" s="378"/>
      <c r="H13" s="378"/>
    </row>
    <row r="14" spans="1:8" ht="12.75">
      <c r="A14" s="378"/>
      <c r="B14" s="378"/>
      <c r="C14" s="147"/>
      <c r="D14" s="378"/>
      <c r="E14" s="378"/>
      <c r="F14" s="147"/>
      <c r="G14" s="378"/>
      <c r="H14" s="378"/>
    </row>
    <row r="15" spans="1:8" ht="12.75">
      <c r="A15" s="378"/>
      <c r="B15" s="378"/>
      <c r="C15" s="147"/>
      <c r="D15" s="378"/>
      <c r="E15" s="378"/>
      <c r="F15" s="147"/>
      <c r="G15" s="378"/>
      <c r="H15" s="378"/>
    </row>
    <row r="16" spans="1:8" ht="12.75">
      <c r="A16" s="378"/>
      <c r="B16" s="378"/>
      <c r="C16" s="147"/>
      <c r="D16" s="378"/>
      <c r="E16" s="378"/>
      <c r="F16" s="147"/>
      <c r="G16" s="378"/>
      <c r="H16" s="378"/>
    </row>
    <row r="17" spans="1:8" ht="12.75">
      <c r="A17" s="378"/>
      <c r="B17" s="378"/>
      <c r="C17" s="147"/>
      <c r="D17" s="378"/>
      <c r="E17" s="378"/>
      <c r="F17" s="147"/>
      <c r="G17" s="378"/>
      <c r="H17" s="378"/>
    </row>
    <row r="18" spans="1:8" ht="12.75">
      <c r="A18" s="378"/>
      <c r="B18" s="378"/>
      <c r="C18" s="147"/>
      <c r="D18" s="378"/>
      <c r="E18" s="378"/>
      <c r="F18" s="147"/>
      <c r="G18" s="378"/>
      <c r="H18" s="378"/>
    </row>
    <row r="19" spans="1:8" ht="12.75">
      <c r="A19" s="378"/>
      <c r="B19" s="378"/>
      <c r="C19" s="147"/>
      <c r="D19" s="378"/>
      <c r="E19" s="378"/>
      <c r="F19" s="147"/>
      <c r="G19" s="378"/>
      <c r="H19" s="378"/>
    </row>
    <row r="20" spans="1:8" ht="12.75">
      <c r="A20" s="378"/>
      <c r="B20" s="378"/>
      <c r="C20" s="147"/>
      <c r="D20" s="378"/>
      <c r="E20" s="378"/>
      <c r="F20" s="147"/>
      <c r="G20" s="378"/>
      <c r="H20" s="378"/>
    </row>
    <row r="21" spans="1:8" ht="12.75">
      <c r="A21" s="378"/>
      <c r="B21" s="378"/>
      <c r="C21" s="147"/>
      <c r="D21" s="378"/>
      <c r="E21" s="378"/>
      <c r="F21" s="147"/>
      <c r="G21" s="378"/>
      <c r="H21" s="378"/>
    </row>
    <row r="22" spans="1:8" ht="12.75">
      <c r="A22" s="378"/>
      <c r="B22" s="378"/>
      <c r="C22" s="147"/>
      <c r="D22" s="378"/>
      <c r="E22" s="378"/>
      <c r="F22" s="147"/>
      <c r="G22" s="378"/>
      <c r="H22" s="378"/>
    </row>
    <row r="23" spans="1:8" ht="12.75">
      <c r="A23" s="378"/>
      <c r="B23" s="378"/>
      <c r="C23" s="147"/>
      <c r="D23" s="378"/>
      <c r="E23" s="378"/>
      <c r="F23" s="147"/>
      <c r="G23" s="378"/>
      <c r="H23" s="378"/>
    </row>
    <row r="24" spans="1:8" ht="12.75">
      <c r="A24" s="378"/>
      <c r="B24" s="378"/>
      <c r="C24" s="147"/>
      <c r="D24" s="378"/>
      <c r="E24" s="378"/>
      <c r="F24" s="147"/>
      <c r="G24" s="378"/>
      <c r="H24" s="378"/>
    </row>
    <row r="25" spans="1:8" ht="12.75">
      <c r="A25" s="378"/>
      <c r="B25" s="378"/>
      <c r="C25" s="147"/>
      <c r="D25" s="378"/>
      <c r="E25" s="378"/>
      <c r="F25" s="147"/>
      <c r="G25" s="378"/>
      <c r="H25" s="378"/>
    </row>
    <row r="26" spans="1:8" ht="12.75">
      <c r="A26" s="378"/>
      <c r="B26" s="378"/>
      <c r="C26" s="147"/>
      <c r="D26" s="378"/>
      <c r="E26" s="378"/>
      <c r="F26" s="147"/>
      <c r="G26" s="378"/>
      <c r="H26" s="378"/>
    </row>
    <row r="27" spans="1:8" ht="12.75">
      <c r="A27" s="378"/>
      <c r="B27" s="378"/>
      <c r="C27" s="147"/>
      <c r="D27" s="378"/>
      <c r="E27" s="378"/>
      <c r="F27" s="147"/>
      <c r="G27" s="378"/>
      <c r="H27" s="378"/>
    </row>
    <row r="28" spans="1:8" ht="12.75">
      <c r="A28" s="378"/>
      <c r="B28" s="378"/>
      <c r="C28" s="147"/>
      <c r="D28" s="378"/>
      <c r="E28" s="378"/>
      <c r="F28" s="147"/>
      <c r="G28" s="378"/>
      <c r="H28" s="378"/>
    </row>
    <row r="29" spans="1:8" ht="12.75">
      <c r="A29" s="378"/>
      <c r="B29" s="378"/>
      <c r="C29" s="147"/>
      <c r="D29" s="378"/>
      <c r="E29" s="378"/>
      <c r="F29" s="147"/>
      <c r="G29" s="378"/>
      <c r="H29" s="378"/>
    </row>
    <row r="30" spans="1:8" ht="12.75">
      <c r="A30" s="378"/>
      <c r="B30" s="378"/>
      <c r="C30" s="147"/>
      <c r="D30" s="378"/>
      <c r="E30" s="378"/>
      <c r="F30" s="147"/>
      <c r="G30" s="378"/>
      <c r="H30" s="378"/>
    </row>
    <row r="31" spans="1:8" ht="12.75">
      <c r="A31" s="378"/>
      <c r="B31" s="378"/>
      <c r="C31" s="147"/>
      <c r="D31" s="378"/>
      <c r="E31" s="378"/>
      <c r="F31" s="147"/>
      <c r="G31" s="378"/>
      <c r="H31" s="378"/>
    </row>
    <row r="32" spans="1:8" ht="12.75">
      <c r="A32" s="378"/>
      <c r="B32" s="378"/>
      <c r="C32" s="147"/>
      <c r="D32" s="378"/>
      <c r="E32" s="378"/>
      <c r="F32" s="147"/>
      <c r="G32" s="378"/>
      <c r="H32" s="378"/>
    </row>
    <row r="33" spans="1:8" ht="12.75">
      <c r="A33" s="378"/>
      <c r="B33" s="378"/>
      <c r="C33" s="147"/>
      <c r="D33" s="378"/>
      <c r="E33" s="378"/>
      <c r="F33" s="147"/>
      <c r="G33" s="378"/>
      <c r="H33" s="378"/>
    </row>
    <row r="34" spans="1:8" ht="13.5" thickBot="1">
      <c r="A34" s="379"/>
      <c r="B34" s="379"/>
      <c r="C34" s="380"/>
      <c r="D34" s="379"/>
      <c r="E34" s="379"/>
      <c r="F34" s="380"/>
      <c r="G34" s="379"/>
      <c r="H34" s="379"/>
    </row>
    <row r="35" spans="1:8" ht="12.75">
      <c r="A35" s="381"/>
      <c r="B35" s="381"/>
      <c r="C35" s="382"/>
      <c r="D35" s="381"/>
      <c r="E35" s="381"/>
      <c r="F35" s="382"/>
      <c r="G35" s="381"/>
      <c r="H35" s="381"/>
    </row>
    <row r="36" spans="1:8" ht="12.75">
      <c r="A36" s="378"/>
      <c r="B36" s="378"/>
      <c r="C36" s="147"/>
      <c r="D36" s="378"/>
      <c r="E36" s="378"/>
      <c r="F36" s="147"/>
      <c r="G36" s="378"/>
      <c r="H36" s="378"/>
    </row>
    <row r="37" spans="1:8" ht="12.75">
      <c r="A37" s="378"/>
      <c r="B37" s="378"/>
      <c r="C37" s="147"/>
      <c r="D37" s="378"/>
      <c r="E37" s="378"/>
      <c r="F37" s="147"/>
      <c r="G37" s="378"/>
      <c r="H37" s="378"/>
    </row>
    <row r="38" spans="1:8" ht="12.75">
      <c r="A38" s="378"/>
      <c r="B38" s="378"/>
      <c r="C38" s="147"/>
      <c r="D38" s="378"/>
      <c r="E38" s="378"/>
      <c r="F38" s="147"/>
      <c r="G38" s="378"/>
      <c r="H38" s="378"/>
    </row>
    <row r="39" spans="1:8" ht="12.75">
      <c r="A39" s="378"/>
      <c r="B39" s="378"/>
      <c r="C39" s="147"/>
      <c r="D39" s="378"/>
      <c r="E39" s="378"/>
      <c r="F39" s="147"/>
      <c r="G39" s="378"/>
      <c r="H39" s="378"/>
    </row>
    <row r="40" spans="1:8" ht="12.75">
      <c r="A40" s="378"/>
      <c r="B40" s="378"/>
      <c r="C40" s="147"/>
      <c r="D40" s="378"/>
      <c r="E40" s="378"/>
      <c r="F40" s="147"/>
      <c r="G40" s="378"/>
      <c r="H40" s="378"/>
    </row>
    <row r="41" spans="1:8" ht="12.75">
      <c r="A41" s="378"/>
      <c r="B41" s="378"/>
      <c r="C41" s="147"/>
      <c r="D41" s="378"/>
      <c r="E41" s="378"/>
      <c r="F41" s="147"/>
      <c r="G41" s="378"/>
      <c r="H41" s="378"/>
    </row>
    <row r="42" spans="1:8" ht="12.75">
      <c r="A42" s="378"/>
      <c r="B42" s="378"/>
      <c r="C42" s="147"/>
      <c r="D42" s="378"/>
      <c r="E42" s="378"/>
      <c r="F42" s="147"/>
      <c r="G42" s="378"/>
      <c r="H42" s="378"/>
    </row>
    <row r="43" spans="1:8" ht="12.75">
      <c r="A43" s="378"/>
      <c r="B43" s="378"/>
      <c r="C43" s="147"/>
      <c r="D43" s="378"/>
      <c r="E43" s="378"/>
      <c r="F43" s="147"/>
      <c r="G43" s="378"/>
      <c r="H43" s="378"/>
    </row>
    <row r="44" spans="1:8" ht="12.75">
      <c r="A44" s="378"/>
      <c r="B44" s="378"/>
      <c r="C44" s="147"/>
      <c r="D44" s="378"/>
      <c r="E44" s="378"/>
      <c r="F44" s="147"/>
      <c r="G44" s="378"/>
      <c r="H44" s="378"/>
    </row>
    <row r="45" spans="1:8" ht="12.75">
      <c r="A45" s="378"/>
      <c r="B45" s="378"/>
      <c r="C45" s="147"/>
      <c r="D45" s="378"/>
      <c r="E45" s="378"/>
      <c r="F45" s="147"/>
      <c r="G45" s="378"/>
      <c r="H45" s="378"/>
    </row>
    <row r="46" spans="1:8" ht="12.75">
      <c r="A46" s="378"/>
      <c r="B46" s="378"/>
      <c r="C46" s="147"/>
      <c r="D46" s="378"/>
      <c r="E46" s="378"/>
      <c r="F46" s="147"/>
      <c r="G46" s="378"/>
      <c r="H46" s="378"/>
    </row>
    <row r="47" spans="1:8" ht="12.75">
      <c r="A47" s="378"/>
      <c r="B47" s="378"/>
      <c r="C47" s="147"/>
      <c r="D47" s="378"/>
      <c r="E47" s="378"/>
      <c r="F47" s="147"/>
      <c r="G47" s="378"/>
      <c r="H47" s="378"/>
    </row>
  </sheetData>
  <sheetProtection/>
  <mergeCells count="7">
    <mergeCell ref="H3:H5"/>
    <mergeCell ref="C4:C5"/>
    <mergeCell ref="D4:D5"/>
    <mergeCell ref="A3:A5"/>
    <mergeCell ref="B3:B5"/>
    <mergeCell ref="C3:D3"/>
    <mergeCell ref="F3:F5"/>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D7" sqref="D7"/>
    </sheetView>
  </sheetViews>
  <sheetFormatPr defaultColWidth="11.421875" defaultRowHeight="12.75"/>
  <cols>
    <col min="2" max="2" width="14.140625" style="0" customWidth="1"/>
    <col min="3" max="3" width="16.00390625" style="0" customWidth="1"/>
    <col min="4" max="4" width="14.57421875" style="0" customWidth="1"/>
    <col min="5" max="5" width="13.57421875" style="0" customWidth="1"/>
    <col min="6" max="6" width="14.140625" style="0" customWidth="1"/>
    <col min="7" max="7" width="15.57421875" style="0" customWidth="1"/>
    <col min="8" max="8" width="13.421875" style="0" customWidth="1"/>
    <col min="9" max="9" width="28.28125" style="0" customWidth="1"/>
  </cols>
  <sheetData>
    <row r="1" spans="1:9" ht="18">
      <c r="A1" s="1183" t="s">
        <v>1097</v>
      </c>
      <c r="B1" s="1183"/>
      <c r="C1" s="1183"/>
      <c r="D1" s="1183"/>
      <c r="E1" s="1183"/>
      <c r="F1" s="1183"/>
      <c r="G1" s="1183"/>
      <c r="H1" s="1183"/>
      <c r="I1" s="1183"/>
    </row>
    <row r="2" spans="1:9" ht="13.5" thickBot="1">
      <c r="A2" s="631"/>
      <c r="B2" s="631"/>
      <c r="C2" s="631"/>
      <c r="D2" s="631"/>
      <c r="E2" s="631"/>
      <c r="F2" s="631"/>
      <c r="G2" s="631"/>
      <c r="H2" s="631"/>
      <c r="I2" s="631"/>
    </row>
    <row r="3" spans="1:9" ht="12.75">
      <c r="A3" s="1174" t="s">
        <v>1073</v>
      </c>
      <c r="B3" s="627" t="s">
        <v>1098</v>
      </c>
      <c r="C3" s="621" t="s">
        <v>1099</v>
      </c>
      <c r="D3" s="621" t="s">
        <v>1100</v>
      </c>
      <c r="E3" s="621" t="s">
        <v>1093</v>
      </c>
      <c r="F3" s="621" t="s">
        <v>1101</v>
      </c>
      <c r="G3" s="621" t="s">
        <v>533</v>
      </c>
      <c r="H3" s="628" t="s">
        <v>1102</v>
      </c>
      <c r="I3" s="1174" t="s">
        <v>1103</v>
      </c>
    </row>
    <row r="4" spans="1:9" ht="12.75">
      <c r="A4" s="1184"/>
      <c r="B4" s="629" t="s">
        <v>1104</v>
      </c>
      <c r="C4" s="623" t="s">
        <v>1105</v>
      </c>
      <c r="D4" s="623" t="s">
        <v>1106</v>
      </c>
      <c r="E4" s="623" t="s">
        <v>1107</v>
      </c>
      <c r="F4" s="623" t="s">
        <v>1108</v>
      </c>
      <c r="G4" s="623" t="s">
        <v>1109</v>
      </c>
      <c r="H4" s="630" t="s">
        <v>1110</v>
      </c>
      <c r="I4" s="1184"/>
    </row>
    <row r="5" spans="1:9" ht="12.75">
      <c r="A5" s="33"/>
      <c r="B5" s="33"/>
      <c r="C5" s="33"/>
      <c r="D5" s="33"/>
      <c r="E5" s="33"/>
      <c r="F5" s="33"/>
      <c r="G5" s="33"/>
      <c r="H5" s="33"/>
      <c r="I5" s="33"/>
    </row>
    <row r="6" spans="1:9" ht="12.75">
      <c r="A6" s="33"/>
      <c r="B6" s="33"/>
      <c r="C6" s="33"/>
      <c r="D6" s="33"/>
      <c r="E6" s="33"/>
      <c r="F6" s="33"/>
      <c r="G6" s="33"/>
      <c r="H6" s="33"/>
      <c r="I6" s="33"/>
    </row>
    <row r="7" spans="1:9" ht="12.75">
      <c r="A7" s="33"/>
      <c r="B7" s="33"/>
      <c r="C7" s="33"/>
      <c r="D7" s="33"/>
      <c r="E7" s="33"/>
      <c r="F7" s="33"/>
      <c r="G7" s="33"/>
      <c r="H7" s="33"/>
      <c r="I7" s="33"/>
    </row>
    <row r="8" spans="1:9" ht="12.75">
      <c r="A8" s="33"/>
      <c r="B8" s="33"/>
      <c r="C8" s="33"/>
      <c r="D8" s="33"/>
      <c r="E8" s="33"/>
      <c r="F8" s="33"/>
      <c r="G8" s="33"/>
      <c r="H8" s="33"/>
      <c r="I8" s="33"/>
    </row>
    <row r="9" spans="1:9" ht="12.75">
      <c r="A9" s="33"/>
      <c r="B9" s="33"/>
      <c r="C9" s="33"/>
      <c r="D9" s="33"/>
      <c r="E9" s="33"/>
      <c r="F9" s="33"/>
      <c r="G9" s="33"/>
      <c r="H9" s="33"/>
      <c r="I9" s="33"/>
    </row>
    <row r="10" spans="1:9" ht="12.75">
      <c r="A10" s="33"/>
      <c r="B10" s="33"/>
      <c r="C10" s="33"/>
      <c r="D10" s="33"/>
      <c r="E10" s="33"/>
      <c r="F10" s="33"/>
      <c r="G10" s="33"/>
      <c r="H10" s="33"/>
      <c r="I10" s="33"/>
    </row>
    <row r="11" spans="1:9" ht="12.75">
      <c r="A11" s="33"/>
      <c r="B11" s="33"/>
      <c r="C11" s="33"/>
      <c r="D11" s="33"/>
      <c r="E11" s="33"/>
      <c r="F11" s="33"/>
      <c r="G11" s="33"/>
      <c r="H11" s="33"/>
      <c r="I11" s="33"/>
    </row>
    <row r="12" spans="1:9" ht="12.75">
      <c r="A12" s="33"/>
      <c r="B12" s="33"/>
      <c r="C12" s="33"/>
      <c r="D12" s="33"/>
      <c r="E12" s="33"/>
      <c r="F12" s="33"/>
      <c r="G12" s="33"/>
      <c r="H12" s="33"/>
      <c r="I12" s="33"/>
    </row>
    <row r="13" spans="1:9" ht="12.75">
      <c r="A13" s="33"/>
      <c r="B13" s="33"/>
      <c r="C13" s="33"/>
      <c r="D13" s="33"/>
      <c r="E13" s="33"/>
      <c r="F13" s="33"/>
      <c r="G13" s="33"/>
      <c r="H13" s="33"/>
      <c r="I13" s="33"/>
    </row>
    <row r="14" spans="1:9" ht="12.75">
      <c r="A14" s="33"/>
      <c r="B14" s="33"/>
      <c r="C14" s="33"/>
      <c r="D14" s="33"/>
      <c r="E14" s="33"/>
      <c r="F14" s="33"/>
      <c r="G14" s="33"/>
      <c r="H14" s="33"/>
      <c r="I14" s="33"/>
    </row>
    <row r="15" spans="1:9" ht="12.75">
      <c r="A15" s="33"/>
      <c r="B15" s="33"/>
      <c r="C15" s="33"/>
      <c r="D15" s="33"/>
      <c r="E15" s="33"/>
      <c r="F15" s="33"/>
      <c r="G15" s="33"/>
      <c r="H15" s="33"/>
      <c r="I15" s="33"/>
    </row>
    <row r="16" spans="1:9" ht="12.75">
      <c r="A16" s="33"/>
      <c r="B16" s="33"/>
      <c r="C16" s="33"/>
      <c r="D16" s="33"/>
      <c r="E16" s="33"/>
      <c r="F16" s="33"/>
      <c r="G16" s="33"/>
      <c r="H16" s="33"/>
      <c r="I16" s="33"/>
    </row>
    <row r="17" spans="1:9" ht="12.75">
      <c r="A17" s="33"/>
      <c r="B17" s="33"/>
      <c r="C17" s="33"/>
      <c r="D17" s="33"/>
      <c r="E17" s="33"/>
      <c r="F17" s="33"/>
      <c r="G17" s="33"/>
      <c r="H17" s="33"/>
      <c r="I17" s="33"/>
    </row>
    <row r="18" spans="1:9" ht="12.75">
      <c r="A18" s="33"/>
      <c r="B18" s="33"/>
      <c r="C18" s="33"/>
      <c r="D18" s="33"/>
      <c r="E18" s="33"/>
      <c r="F18" s="33"/>
      <c r="G18" s="33"/>
      <c r="H18" s="33"/>
      <c r="I18" s="33"/>
    </row>
    <row r="19" spans="1:9" ht="12.75">
      <c r="A19" s="33"/>
      <c r="B19" s="33"/>
      <c r="C19" s="33"/>
      <c r="D19" s="33"/>
      <c r="E19" s="33"/>
      <c r="F19" s="33"/>
      <c r="G19" s="33"/>
      <c r="H19" s="33"/>
      <c r="I19" s="33"/>
    </row>
    <row r="20" spans="1:9" ht="12.75">
      <c r="A20" s="33"/>
      <c r="B20" s="33"/>
      <c r="C20" s="33"/>
      <c r="D20" s="33"/>
      <c r="E20" s="33"/>
      <c r="F20" s="33"/>
      <c r="G20" s="33"/>
      <c r="H20" s="33"/>
      <c r="I20" s="33"/>
    </row>
    <row r="21" spans="1:9" ht="12.75">
      <c r="A21" s="33"/>
      <c r="B21" s="33"/>
      <c r="C21" s="33"/>
      <c r="D21" s="33"/>
      <c r="E21" s="33"/>
      <c r="F21" s="33"/>
      <c r="G21" s="33"/>
      <c r="H21" s="33"/>
      <c r="I21" s="33"/>
    </row>
    <row r="22" spans="1:9" ht="12.75">
      <c r="A22" s="33"/>
      <c r="B22" s="33"/>
      <c r="C22" s="33"/>
      <c r="D22" s="33"/>
      <c r="E22" s="33"/>
      <c r="F22" s="33"/>
      <c r="G22" s="33"/>
      <c r="H22" s="33"/>
      <c r="I22" s="33"/>
    </row>
    <row r="23" spans="1:9" ht="12.75">
      <c r="A23" s="33"/>
      <c r="B23" s="33"/>
      <c r="C23" s="33"/>
      <c r="D23" s="33"/>
      <c r="E23" s="33"/>
      <c r="F23" s="33"/>
      <c r="G23" s="33"/>
      <c r="H23" s="33"/>
      <c r="I23" s="33"/>
    </row>
    <row r="24" spans="1:9" ht="12.75">
      <c r="A24" s="33"/>
      <c r="B24" s="33"/>
      <c r="C24" s="33"/>
      <c r="D24" s="33"/>
      <c r="E24" s="33"/>
      <c r="F24" s="33"/>
      <c r="G24" s="33"/>
      <c r="H24" s="33"/>
      <c r="I24" s="33"/>
    </row>
    <row r="25" spans="1:9" ht="12.75">
      <c r="A25" s="33"/>
      <c r="B25" s="33"/>
      <c r="C25" s="33"/>
      <c r="D25" s="33"/>
      <c r="E25" s="33"/>
      <c r="F25" s="33"/>
      <c r="G25" s="33"/>
      <c r="H25" s="33"/>
      <c r="I25" s="33"/>
    </row>
    <row r="26" spans="1:9" ht="12.75">
      <c r="A26" s="33"/>
      <c r="B26" s="33"/>
      <c r="C26" s="33"/>
      <c r="D26" s="33"/>
      <c r="E26" s="33"/>
      <c r="F26" s="33"/>
      <c r="G26" s="33"/>
      <c r="H26" s="33"/>
      <c r="I26" s="33"/>
    </row>
    <row r="27" spans="1:9" ht="12.75">
      <c r="A27" s="33"/>
      <c r="B27" s="33"/>
      <c r="C27" s="33"/>
      <c r="D27" s="33"/>
      <c r="E27" s="33"/>
      <c r="F27" s="33"/>
      <c r="G27" s="33"/>
      <c r="H27" s="33"/>
      <c r="I27" s="33"/>
    </row>
    <row r="28" spans="1:9" ht="12.75">
      <c r="A28" s="33"/>
      <c r="B28" s="33"/>
      <c r="C28" s="33"/>
      <c r="D28" s="33"/>
      <c r="E28" s="33"/>
      <c r="F28" s="33"/>
      <c r="G28" s="33"/>
      <c r="H28" s="33"/>
      <c r="I28" s="33"/>
    </row>
    <row r="29" spans="1:9" ht="12.75">
      <c r="A29" s="33"/>
      <c r="B29" s="33"/>
      <c r="C29" s="33"/>
      <c r="D29" s="33"/>
      <c r="E29" s="33"/>
      <c r="F29" s="33"/>
      <c r="G29" s="33"/>
      <c r="H29" s="33"/>
      <c r="I29" s="33"/>
    </row>
    <row r="30" spans="1:9" ht="12.75">
      <c r="A30" s="33"/>
      <c r="B30" s="33"/>
      <c r="C30" s="33"/>
      <c r="D30" s="33"/>
      <c r="E30" s="33"/>
      <c r="F30" s="33"/>
      <c r="G30" s="33"/>
      <c r="H30" s="33"/>
      <c r="I30" s="33"/>
    </row>
    <row r="31" spans="1:9" ht="12.75">
      <c r="A31" s="33"/>
      <c r="B31" s="33"/>
      <c r="C31" s="33"/>
      <c r="D31" s="33"/>
      <c r="E31" s="33"/>
      <c r="F31" s="33"/>
      <c r="G31" s="33"/>
      <c r="H31" s="33"/>
      <c r="I31" s="33"/>
    </row>
    <row r="33" spans="2:3" ht="12.75">
      <c r="B33" t="s">
        <v>1111</v>
      </c>
      <c r="C33" t="s">
        <v>1112</v>
      </c>
    </row>
    <row r="34" spans="3:5" ht="12.75">
      <c r="C34" s="1079" t="s">
        <v>1113</v>
      </c>
      <c r="D34" s="1079"/>
      <c r="E34" s="1079"/>
    </row>
  </sheetData>
  <sheetProtection/>
  <mergeCells count="4">
    <mergeCell ref="A1:I1"/>
    <mergeCell ref="A3:A4"/>
    <mergeCell ref="I3:I4"/>
    <mergeCell ref="C34:E34"/>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N58"/>
  <sheetViews>
    <sheetView showGridLines="0" zoomScalePageLayoutView="0" workbookViewId="0" topLeftCell="G1">
      <selection activeCell="E14" sqref="E14"/>
    </sheetView>
  </sheetViews>
  <sheetFormatPr defaultColWidth="11.421875" defaultRowHeight="12.75"/>
  <cols>
    <col min="14" max="14" width="18.421875" style="0" customWidth="1"/>
  </cols>
  <sheetData>
    <row r="1" ht="12.75">
      <c r="A1" t="s">
        <v>1114</v>
      </c>
    </row>
    <row r="2" spans="1:14" ht="16.5" thickBot="1">
      <c r="A2" s="19" t="s">
        <v>1115</v>
      </c>
      <c r="B2" s="387"/>
      <c r="C2" s="387"/>
      <c r="D2" s="387"/>
      <c r="E2" s="387"/>
      <c r="F2" s="387"/>
      <c r="G2" s="387" t="s">
        <v>1116</v>
      </c>
      <c r="H2" s="387"/>
      <c r="I2" s="387"/>
      <c r="J2" s="387"/>
      <c r="K2" s="387"/>
      <c r="L2" s="387" t="s">
        <v>1117</v>
      </c>
      <c r="M2" s="387"/>
      <c r="N2" s="387"/>
    </row>
    <row r="3" spans="1:14" ht="12.75">
      <c r="A3" s="388" t="s">
        <v>1118</v>
      </c>
      <c r="B3" s="389" t="s">
        <v>1012</v>
      </c>
      <c r="C3" s="389" t="s">
        <v>1119</v>
      </c>
      <c r="D3" s="389" t="s">
        <v>1058</v>
      </c>
      <c r="E3" s="389" t="s">
        <v>1120</v>
      </c>
      <c r="F3" s="389" t="s">
        <v>1121</v>
      </c>
      <c r="G3" s="389" t="s">
        <v>1122</v>
      </c>
      <c r="H3" s="389" t="s">
        <v>1069</v>
      </c>
      <c r="I3" s="1190" t="s">
        <v>1123</v>
      </c>
      <c r="J3" s="1190"/>
      <c r="K3" s="1190"/>
      <c r="L3" s="1190"/>
      <c r="M3" s="390" t="s">
        <v>784</v>
      </c>
      <c r="N3" s="391" t="s">
        <v>1103</v>
      </c>
    </row>
    <row r="4" spans="1:14" ht="12.75">
      <c r="A4" s="392"/>
      <c r="B4" s="393"/>
      <c r="C4" s="393"/>
      <c r="D4" s="393"/>
      <c r="E4" s="393"/>
      <c r="F4" s="393"/>
      <c r="G4" s="393"/>
      <c r="H4" s="393"/>
      <c r="I4" s="1185" t="s">
        <v>1124</v>
      </c>
      <c r="J4" s="1186"/>
      <c r="K4" s="1185" t="s">
        <v>1125</v>
      </c>
      <c r="L4" s="1186"/>
      <c r="M4" s="394"/>
      <c r="N4" s="395"/>
    </row>
    <row r="5" spans="1:14" ht="13.5" thickBot="1">
      <c r="A5" s="396"/>
      <c r="B5" s="397"/>
      <c r="C5" s="397"/>
      <c r="D5" s="397"/>
      <c r="E5" s="397"/>
      <c r="F5" s="397"/>
      <c r="G5" s="397"/>
      <c r="H5" s="397"/>
      <c r="I5" s="398" t="s">
        <v>1126</v>
      </c>
      <c r="J5" s="398" t="s">
        <v>1127</v>
      </c>
      <c r="K5" s="398" t="s">
        <v>1126</v>
      </c>
      <c r="L5" s="398" t="s">
        <v>1127</v>
      </c>
      <c r="M5" s="397"/>
      <c r="N5" s="399"/>
    </row>
    <row r="6" spans="1:14" ht="22.5">
      <c r="A6" s="400" t="s">
        <v>1128</v>
      </c>
      <c r="B6" s="400"/>
      <c r="C6" s="400"/>
      <c r="D6" s="400"/>
      <c r="E6" s="400"/>
      <c r="F6" s="400"/>
      <c r="G6" s="400"/>
      <c r="H6" s="400"/>
      <c r="I6" s="401"/>
      <c r="J6" s="401"/>
      <c r="K6" s="401"/>
      <c r="L6" s="401"/>
      <c r="M6" s="400"/>
      <c r="N6" s="400"/>
    </row>
    <row r="7" spans="1:14" ht="12.75">
      <c r="A7" s="402" t="s">
        <v>1129</v>
      </c>
      <c r="B7" s="402"/>
      <c r="C7" s="402"/>
      <c r="D7" s="402"/>
      <c r="E7" s="402"/>
      <c r="F7" s="402"/>
      <c r="G7" s="402"/>
      <c r="H7" s="402"/>
      <c r="I7" s="402"/>
      <c r="J7" s="402"/>
      <c r="K7" s="402"/>
      <c r="L7" s="402"/>
      <c r="M7" s="402"/>
      <c r="N7" s="402"/>
    </row>
    <row r="8" spans="1:14" ht="12.75">
      <c r="A8" s="402" t="s">
        <v>1130</v>
      </c>
      <c r="B8" s="402"/>
      <c r="C8" s="402"/>
      <c r="D8" s="402"/>
      <c r="E8" s="402"/>
      <c r="F8" s="402"/>
      <c r="G8" s="402"/>
      <c r="H8" s="402"/>
      <c r="I8" s="402"/>
      <c r="J8" s="402"/>
      <c r="K8" s="402"/>
      <c r="L8" s="402"/>
      <c r="M8" s="402"/>
      <c r="N8" s="402"/>
    </row>
    <row r="9" spans="1:14" ht="12.75">
      <c r="A9" s="402" t="s">
        <v>1131</v>
      </c>
      <c r="B9" s="402"/>
      <c r="C9" s="402"/>
      <c r="D9" s="402"/>
      <c r="E9" s="402"/>
      <c r="F9" s="402"/>
      <c r="G9" s="402"/>
      <c r="H9" s="402"/>
      <c r="I9" s="402"/>
      <c r="J9" s="402"/>
      <c r="K9" s="402"/>
      <c r="L9" s="402"/>
      <c r="M9" s="402"/>
      <c r="N9" s="402"/>
    </row>
    <row r="10" spans="1:14" ht="12.75">
      <c r="A10" s="402" t="s">
        <v>1132</v>
      </c>
      <c r="B10" s="402"/>
      <c r="C10" s="402"/>
      <c r="D10" s="402"/>
      <c r="E10" s="402"/>
      <c r="F10" s="402"/>
      <c r="G10" s="402"/>
      <c r="H10" s="402"/>
      <c r="I10" s="402"/>
      <c r="J10" s="402"/>
      <c r="K10" s="402"/>
      <c r="L10" s="402"/>
      <c r="M10" s="402"/>
      <c r="N10" s="402"/>
    </row>
    <row r="11" spans="1:14" ht="22.5">
      <c r="A11" s="403" t="s">
        <v>942</v>
      </c>
      <c r="B11" s="403"/>
      <c r="C11" s="403"/>
      <c r="D11" s="403"/>
      <c r="E11" s="403"/>
      <c r="F11" s="403"/>
      <c r="G11" s="403"/>
      <c r="H11" s="403"/>
      <c r="I11" s="403"/>
      <c r="J11" s="403"/>
      <c r="K11" s="403"/>
      <c r="L11" s="403"/>
      <c r="M11" s="403"/>
      <c r="N11" s="403"/>
    </row>
    <row r="12" spans="1:14" ht="12.75">
      <c r="A12" s="404"/>
      <c r="B12" s="404"/>
      <c r="C12" s="404"/>
      <c r="D12" s="404"/>
      <c r="E12" s="404"/>
      <c r="F12" s="404"/>
      <c r="G12" s="404"/>
      <c r="H12" s="404"/>
      <c r="I12" s="404"/>
      <c r="J12" s="404"/>
      <c r="K12" s="404"/>
      <c r="L12" s="404"/>
      <c r="M12" s="404"/>
      <c r="N12" s="404"/>
    </row>
    <row r="13" spans="1:14" ht="12.75">
      <c r="A13" s="402" t="s">
        <v>1133</v>
      </c>
      <c r="B13" s="402"/>
      <c r="C13" s="402"/>
      <c r="D13" s="402"/>
      <c r="E13" s="402"/>
      <c r="F13" s="402"/>
      <c r="G13" s="402"/>
      <c r="H13" s="402"/>
      <c r="I13" s="402"/>
      <c r="J13" s="402"/>
      <c r="K13" s="402"/>
      <c r="L13" s="402"/>
      <c r="M13" s="402"/>
      <c r="N13" s="402"/>
    </row>
    <row r="14" spans="1:14" ht="12.75">
      <c r="A14" s="402" t="s">
        <v>1134</v>
      </c>
      <c r="B14" s="402"/>
      <c r="C14" s="402"/>
      <c r="D14" s="402"/>
      <c r="E14" s="402"/>
      <c r="F14" s="402"/>
      <c r="G14" s="402"/>
      <c r="H14" s="402"/>
      <c r="I14" s="402"/>
      <c r="J14" s="402"/>
      <c r="K14" s="402"/>
      <c r="L14" s="402"/>
      <c r="M14" s="402"/>
      <c r="N14" s="402"/>
    </row>
    <row r="15" spans="1:14" ht="12.75">
      <c r="A15" s="402" t="s">
        <v>1131</v>
      </c>
      <c r="B15" s="402"/>
      <c r="C15" s="402"/>
      <c r="D15" s="402"/>
      <c r="E15" s="402"/>
      <c r="F15" s="402"/>
      <c r="G15" s="402"/>
      <c r="H15" s="402"/>
      <c r="I15" s="402"/>
      <c r="J15" s="402"/>
      <c r="K15" s="402"/>
      <c r="L15" s="402"/>
      <c r="M15" s="402"/>
      <c r="N15" s="402"/>
    </row>
    <row r="16" spans="1:14" ht="12.75">
      <c r="A16" s="402" t="s">
        <v>1129</v>
      </c>
      <c r="B16" s="402"/>
      <c r="C16" s="402"/>
      <c r="D16" s="402"/>
      <c r="E16" s="402"/>
      <c r="F16" s="402"/>
      <c r="G16" s="402"/>
      <c r="H16" s="402"/>
      <c r="I16" s="402"/>
      <c r="J16" s="402"/>
      <c r="K16" s="402"/>
      <c r="L16" s="402"/>
      <c r="M16" s="402"/>
      <c r="N16" s="402"/>
    </row>
    <row r="17" spans="1:14" ht="22.5">
      <c r="A17" s="403" t="s">
        <v>1135</v>
      </c>
      <c r="B17" s="403"/>
      <c r="C17" s="403"/>
      <c r="D17" s="403"/>
      <c r="E17" s="403"/>
      <c r="F17" s="403"/>
      <c r="G17" s="403"/>
      <c r="H17" s="403"/>
      <c r="I17" s="403"/>
      <c r="J17" s="403"/>
      <c r="K17" s="403"/>
      <c r="L17" s="403"/>
      <c r="M17" s="403"/>
      <c r="N17" s="403"/>
    </row>
    <row r="18" spans="1:14" ht="12.75">
      <c r="A18" s="404"/>
      <c r="B18" s="404"/>
      <c r="C18" s="404"/>
      <c r="D18" s="404"/>
      <c r="E18" s="404"/>
      <c r="F18" s="404"/>
      <c r="G18" s="404"/>
      <c r="H18" s="404"/>
      <c r="I18" s="404"/>
      <c r="J18" s="404"/>
      <c r="K18" s="404"/>
      <c r="L18" s="404"/>
      <c r="M18" s="404"/>
      <c r="N18" s="404"/>
    </row>
    <row r="19" spans="1:14" ht="22.5">
      <c r="A19" s="403" t="s">
        <v>1136</v>
      </c>
      <c r="B19" s="403"/>
      <c r="C19" s="403"/>
      <c r="D19" s="403"/>
      <c r="E19" s="403"/>
      <c r="F19" s="403"/>
      <c r="G19" s="403"/>
      <c r="H19" s="403"/>
      <c r="I19" s="403"/>
      <c r="J19" s="403"/>
      <c r="K19" s="403"/>
      <c r="L19" s="403"/>
      <c r="M19" s="403"/>
      <c r="N19" s="403"/>
    </row>
    <row r="20" spans="1:14" ht="12.75">
      <c r="A20" s="404"/>
      <c r="B20" s="404"/>
      <c r="C20" s="404"/>
      <c r="D20" s="404"/>
      <c r="E20" s="404"/>
      <c r="F20" s="404"/>
      <c r="G20" s="404"/>
      <c r="H20" s="404"/>
      <c r="I20" s="404"/>
      <c r="J20" s="404"/>
      <c r="K20" s="404"/>
      <c r="L20" s="404"/>
      <c r="M20" s="404"/>
      <c r="N20" s="404"/>
    </row>
    <row r="21" spans="1:14" ht="12.75">
      <c r="A21" s="404"/>
      <c r="B21" s="404"/>
      <c r="C21" s="404"/>
      <c r="D21" s="404"/>
      <c r="E21" s="404"/>
      <c r="F21" s="404"/>
      <c r="G21" s="404"/>
      <c r="H21" s="404"/>
      <c r="I21" s="404"/>
      <c r="J21" s="404"/>
      <c r="K21" s="404"/>
      <c r="L21" s="404"/>
      <c r="M21" s="404"/>
      <c r="N21" s="404"/>
    </row>
    <row r="22" ht="12.75">
      <c r="A22" t="s">
        <v>1114</v>
      </c>
    </row>
    <row r="23" spans="1:14" ht="16.5" thickBot="1">
      <c r="A23" s="19" t="s">
        <v>1115</v>
      </c>
      <c r="B23" s="387"/>
      <c r="C23" s="387"/>
      <c r="D23" s="387"/>
      <c r="E23" s="387"/>
      <c r="F23" s="387"/>
      <c r="G23" s="387" t="s">
        <v>1116</v>
      </c>
      <c r="H23" s="387"/>
      <c r="I23" s="387"/>
      <c r="J23" s="387"/>
      <c r="K23" s="387"/>
      <c r="L23" s="387" t="s">
        <v>1117</v>
      </c>
      <c r="M23" s="387"/>
      <c r="N23" s="387"/>
    </row>
    <row r="24" spans="1:14" ht="12.75">
      <c r="A24" s="388" t="s">
        <v>1118</v>
      </c>
      <c r="B24" s="389" t="s">
        <v>1012</v>
      </c>
      <c r="C24" s="389" t="s">
        <v>1119</v>
      </c>
      <c r="D24" s="389" t="s">
        <v>1058</v>
      </c>
      <c r="E24" s="389" t="s">
        <v>1120</v>
      </c>
      <c r="F24" s="389" t="s">
        <v>1121</v>
      </c>
      <c r="G24" s="389" t="s">
        <v>1122</v>
      </c>
      <c r="H24" s="389" t="s">
        <v>1069</v>
      </c>
      <c r="I24" s="1190" t="s">
        <v>1123</v>
      </c>
      <c r="J24" s="1190"/>
      <c r="K24" s="1190"/>
      <c r="L24" s="1190"/>
      <c r="M24" s="390" t="s">
        <v>784</v>
      </c>
      <c r="N24" s="391" t="s">
        <v>1103</v>
      </c>
    </row>
    <row r="25" spans="1:14" ht="12.75">
      <c r="A25" s="392"/>
      <c r="B25" s="393"/>
      <c r="C25" s="393"/>
      <c r="D25" s="393"/>
      <c r="E25" s="393"/>
      <c r="F25" s="393"/>
      <c r="G25" s="393"/>
      <c r="H25" s="393"/>
      <c r="I25" s="1185" t="s">
        <v>1124</v>
      </c>
      <c r="J25" s="1186"/>
      <c r="K25" s="1185" t="s">
        <v>1125</v>
      </c>
      <c r="L25" s="1186"/>
      <c r="M25" s="394"/>
      <c r="N25" s="395"/>
    </row>
    <row r="26" spans="1:14" ht="13.5" thickBot="1">
      <c r="A26" s="396"/>
      <c r="B26" s="397"/>
      <c r="C26" s="397"/>
      <c r="D26" s="397"/>
      <c r="E26" s="397"/>
      <c r="F26" s="397"/>
      <c r="G26" s="397"/>
      <c r="H26" s="397"/>
      <c r="I26" s="398" t="s">
        <v>1126</v>
      </c>
      <c r="J26" s="398" t="s">
        <v>1127</v>
      </c>
      <c r="K26" s="398" t="s">
        <v>1126</v>
      </c>
      <c r="L26" s="398" t="s">
        <v>1127</v>
      </c>
      <c r="M26" s="397"/>
      <c r="N26" s="399"/>
    </row>
    <row r="27" spans="1:14" ht="12.75">
      <c r="A27" s="405" t="s">
        <v>1137</v>
      </c>
      <c r="B27" s="402"/>
      <c r="C27" s="402"/>
      <c r="D27" s="402"/>
      <c r="E27" s="402"/>
      <c r="F27" s="402"/>
      <c r="G27" s="402"/>
      <c r="H27" s="402"/>
      <c r="I27" s="402"/>
      <c r="J27" s="402"/>
      <c r="K27" s="402"/>
      <c r="L27" s="402"/>
      <c r="M27" s="402"/>
      <c r="N27" s="402"/>
    </row>
    <row r="28" spans="1:14" ht="12.75">
      <c r="A28" s="406"/>
      <c r="B28" s="402"/>
      <c r="C28" s="407"/>
      <c r="D28" s="402"/>
      <c r="E28" s="402"/>
      <c r="F28" s="402"/>
      <c r="G28" s="402"/>
      <c r="H28" s="402"/>
      <c r="I28" s="402"/>
      <c r="J28" s="402"/>
      <c r="K28" s="402"/>
      <c r="L28" s="402"/>
      <c r="M28" s="402"/>
      <c r="N28" s="402"/>
    </row>
    <row r="29" spans="1:14" ht="12.75">
      <c r="A29" s="402"/>
      <c r="B29" s="402"/>
      <c r="C29" s="402"/>
      <c r="D29" s="402"/>
      <c r="E29" s="402"/>
      <c r="F29" s="402"/>
      <c r="G29" s="402"/>
      <c r="H29" s="402"/>
      <c r="I29" s="402"/>
      <c r="J29" s="402"/>
      <c r="K29" s="402"/>
      <c r="L29" s="402"/>
      <c r="M29" s="402"/>
      <c r="N29" s="402"/>
    </row>
    <row r="30" spans="1:14" ht="12.75">
      <c r="A30" s="402"/>
      <c r="B30" s="402"/>
      <c r="C30" s="402"/>
      <c r="D30" s="402"/>
      <c r="E30" s="402"/>
      <c r="F30" s="402"/>
      <c r="G30" s="402"/>
      <c r="H30" s="402"/>
      <c r="I30" s="402"/>
      <c r="J30" s="402"/>
      <c r="K30" s="402"/>
      <c r="L30" s="402"/>
      <c r="M30" s="402"/>
      <c r="N30" s="402"/>
    </row>
    <row r="31" spans="1:14" ht="12.75">
      <c r="A31" s="402"/>
      <c r="B31" s="402"/>
      <c r="C31" s="402"/>
      <c r="D31" s="402"/>
      <c r="E31" s="402"/>
      <c r="F31" s="402"/>
      <c r="G31" s="402"/>
      <c r="H31" s="402"/>
      <c r="I31" s="402"/>
      <c r="J31" s="402"/>
      <c r="K31" s="402"/>
      <c r="L31" s="402"/>
      <c r="M31" s="402"/>
      <c r="N31" s="402"/>
    </row>
    <row r="32" spans="1:14" ht="12.75">
      <c r="A32" s="402"/>
      <c r="B32" s="402"/>
      <c r="C32" s="402"/>
      <c r="D32" s="402"/>
      <c r="E32" s="402"/>
      <c r="F32" s="402"/>
      <c r="G32" s="402"/>
      <c r="H32" s="402"/>
      <c r="I32" s="402"/>
      <c r="J32" s="402"/>
      <c r="K32" s="402"/>
      <c r="L32" s="402"/>
      <c r="M32" s="402"/>
      <c r="N32" s="402"/>
    </row>
    <row r="33" spans="1:14" ht="12.75">
      <c r="A33" s="402"/>
      <c r="B33" s="402"/>
      <c r="C33" s="402"/>
      <c r="D33" s="402"/>
      <c r="E33" s="402"/>
      <c r="F33" s="402"/>
      <c r="G33" s="402"/>
      <c r="H33" s="402"/>
      <c r="I33" s="402"/>
      <c r="J33" s="402"/>
      <c r="K33" s="402"/>
      <c r="L33" s="402"/>
      <c r="M33" s="402"/>
      <c r="N33" s="402"/>
    </row>
    <row r="34" spans="1:14" ht="12.75">
      <c r="A34" s="402"/>
      <c r="B34" s="402"/>
      <c r="C34" s="402"/>
      <c r="D34" s="402"/>
      <c r="E34" s="402"/>
      <c r="F34" s="402"/>
      <c r="G34" s="402"/>
      <c r="H34" s="402"/>
      <c r="I34" s="402"/>
      <c r="J34" s="402"/>
      <c r="K34" s="402"/>
      <c r="L34" s="402"/>
      <c r="M34" s="402"/>
      <c r="N34" s="402"/>
    </row>
    <row r="35" spans="1:14" ht="12.75">
      <c r="A35" s="404"/>
      <c r="B35" s="404"/>
      <c r="C35" s="404"/>
      <c r="D35" s="404"/>
      <c r="E35" s="404"/>
      <c r="F35" s="404"/>
      <c r="G35" s="404"/>
      <c r="H35" s="404"/>
      <c r="I35" s="404"/>
      <c r="J35" s="404"/>
      <c r="K35" s="404"/>
      <c r="L35" s="404"/>
      <c r="M35" s="404"/>
      <c r="N35" s="404"/>
    </row>
    <row r="36" spans="1:14" ht="15.75">
      <c r="A36" s="404"/>
      <c r="B36" s="404"/>
      <c r="C36" s="404"/>
      <c r="D36" s="1187" t="s">
        <v>1138</v>
      </c>
      <c r="E36" s="1187"/>
      <c r="F36" s="404"/>
      <c r="G36" s="404"/>
      <c r="H36" s="404"/>
      <c r="I36" s="404"/>
      <c r="J36" s="404"/>
      <c r="K36" s="404"/>
      <c r="L36" s="404"/>
      <c r="M36" s="404"/>
      <c r="N36" s="404"/>
    </row>
    <row r="37" spans="1:14" ht="12.75">
      <c r="A37" s="408" t="s">
        <v>1073</v>
      </c>
      <c r="B37" s="1188" t="s">
        <v>1139</v>
      </c>
      <c r="C37" s="1189"/>
      <c r="D37" s="409" t="s">
        <v>974</v>
      </c>
      <c r="E37" s="402"/>
      <c r="F37" s="409" t="s">
        <v>1047</v>
      </c>
      <c r="G37" s="402"/>
      <c r="H37" s="409" t="s">
        <v>1088</v>
      </c>
      <c r="I37" s="402"/>
      <c r="J37" s="409" t="s">
        <v>1090</v>
      </c>
      <c r="K37" s="402"/>
      <c r="L37" s="409" t="s">
        <v>1140</v>
      </c>
      <c r="M37" s="402"/>
      <c r="N37" s="409" t="s">
        <v>1092</v>
      </c>
    </row>
    <row r="38" spans="1:14" ht="12.75">
      <c r="A38" s="402"/>
      <c r="B38" s="410"/>
      <c r="C38" s="411"/>
      <c r="D38" s="410"/>
      <c r="E38" s="411"/>
      <c r="F38" s="410"/>
      <c r="G38" s="411"/>
      <c r="H38" s="410"/>
      <c r="I38" s="411"/>
      <c r="J38" s="410"/>
      <c r="K38" s="411"/>
      <c r="L38" s="402"/>
      <c r="M38" s="402"/>
      <c r="N38" s="402"/>
    </row>
    <row r="39" spans="1:14" ht="12.75">
      <c r="A39" s="402"/>
      <c r="B39" s="410"/>
      <c r="C39" s="411"/>
      <c r="D39" s="410"/>
      <c r="E39" s="411"/>
      <c r="F39" s="410"/>
      <c r="G39" s="411"/>
      <c r="H39" s="410"/>
      <c r="I39" s="411"/>
      <c r="J39" s="410"/>
      <c r="K39" s="411"/>
      <c r="L39" s="402"/>
      <c r="M39" s="402"/>
      <c r="N39" s="402"/>
    </row>
    <row r="40" spans="1:14" ht="12.75">
      <c r="A40" s="402"/>
      <c r="B40" s="410"/>
      <c r="C40" s="411"/>
      <c r="D40" s="410"/>
      <c r="E40" s="411"/>
      <c r="F40" s="410"/>
      <c r="G40" s="411"/>
      <c r="H40" s="410"/>
      <c r="I40" s="411"/>
      <c r="J40" s="410"/>
      <c r="K40" s="411"/>
      <c r="L40" s="402"/>
      <c r="M40" s="402"/>
      <c r="N40" s="402"/>
    </row>
    <row r="41" spans="1:14" ht="12.75">
      <c r="A41" s="402"/>
      <c r="B41" s="410"/>
      <c r="C41" s="411"/>
      <c r="D41" s="410"/>
      <c r="E41" s="411"/>
      <c r="F41" s="410"/>
      <c r="G41" s="411"/>
      <c r="H41" s="410"/>
      <c r="I41" s="411"/>
      <c r="J41" s="410"/>
      <c r="K41" s="411"/>
      <c r="L41" s="402"/>
      <c r="M41" s="402"/>
      <c r="N41" s="402"/>
    </row>
    <row r="42" spans="1:14" ht="12.75">
      <c r="A42" s="402"/>
      <c r="B42" s="410"/>
      <c r="C42" s="411"/>
      <c r="D42" s="410"/>
      <c r="E42" s="411"/>
      <c r="F42" s="410"/>
      <c r="G42" s="411"/>
      <c r="H42" s="410"/>
      <c r="I42" s="411"/>
      <c r="J42" s="410"/>
      <c r="K42" s="411"/>
      <c r="L42" s="402"/>
      <c r="M42" s="402"/>
      <c r="N42" s="402"/>
    </row>
    <row r="43" spans="1:14" ht="12.75">
      <c r="A43" s="402"/>
      <c r="B43" s="410"/>
      <c r="C43" s="411"/>
      <c r="D43" s="410"/>
      <c r="E43" s="411"/>
      <c r="F43" s="410"/>
      <c r="G43" s="411"/>
      <c r="H43" s="410"/>
      <c r="I43" s="411"/>
      <c r="J43" s="410"/>
      <c r="K43" s="411"/>
      <c r="L43" s="402"/>
      <c r="M43" s="402"/>
      <c r="N43" s="402"/>
    </row>
    <row r="44" spans="1:14" ht="12.75">
      <c r="A44" s="402"/>
      <c r="B44" s="410"/>
      <c r="C44" s="411"/>
      <c r="D44" s="410"/>
      <c r="E44" s="411"/>
      <c r="F44" s="410"/>
      <c r="G44" s="411"/>
      <c r="H44" s="410"/>
      <c r="I44" s="411"/>
      <c r="J44" s="410"/>
      <c r="K44" s="411"/>
      <c r="L44" s="402"/>
      <c r="M44" s="402"/>
      <c r="N44" s="402"/>
    </row>
    <row r="45" spans="1:14" ht="12.75">
      <c r="A45" s="404"/>
      <c r="B45" s="404"/>
      <c r="C45" s="404"/>
      <c r="D45" s="404"/>
      <c r="E45" s="404"/>
      <c r="F45" s="404"/>
      <c r="G45" s="404"/>
      <c r="H45" s="404"/>
      <c r="I45" s="404"/>
      <c r="J45" s="404"/>
      <c r="K45" s="404"/>
      <c r="L45" s="404"/>
      <c r="M45" s="404"/>
      <c r="N45" s="404"/>
    </row>
    <row r="46" spans="1:14" ht="12.75">
      <c r="A46" s="404"/>
      <c r="B46" s="404"/>
      <c r="C46" s="404"/>
      <c r="D46" s="404"/>
      <c r="E46" s="404"/>
      <c r="F46" s="404"/>
      <c r="G46" s="404"/>
      <c r="H46" s="404"/>
      <c r="I46" s="404"/>
      <c r="J46" s="404"/>
      <c r="K46" s="404"/>
      <c r="L46" s="404"/>
      <c r="M46" s="404"/>
      <c r="N46" s="404"/>
    </row>
    <row r="47" spans="1:14" ht="12.75">
      <c r="A47" s="404"/>
      <c r="B47" s="404"/>
      <c r="C47" s="404"/>
      <c r="D47" s="404"/>
      <c r="E47" s="404"/>
      <c r="F47" s="404"/>
      <c r="G47" s="404"/>
      <c r="H47" s="404"/>
      <c r="I47" s="404"/>
      <c r="J47" s="404"/>
      <c r="K47" s="404"/>
      <c r="L47" s="404"/>
      <c r="M47" s="404"/>
      <c r="N47" s="404"/>
    </row>
    <row r="48" spans="1:14" ht="12.75">
      <c r="A48" s="404"/>
      <c r="B48" s="404"/>
      <c r="C48" s="404"/>
      <c r="D48" s="404"/>
      <c r="E48" s="404"/>
      <c r="F48" s="404"/>
      <c r="G48" s="404"/>
      <c r="H48" s="404"/>
      <c r="I48" s="404"/>
      <c r="J48" s="404"/>
      <c r="K48" s="404"/>
      <c r="L48" s="404"/>
      <c r="M48" s="404"/>
      <c r="N48" s="404"/>
    </row>
    <row r="49" spans="1:14" ht="12.75">
      <c r="A49" s="404"/>
      <c r="B49" s="404"/>
      <c r="C49" s="404"/>
      <c r="D49" s="404"/>
      <c r="E49" s="404"/>
      <c r="F49" s="404"/>
      <c r="G49" s="404"/>
      <c r="H49" s="404"/>
      <c r="I49" s="404"/>
      <c r="J49" s="404"/>
      <c r="K49" s="404"/>
      <c r="L49" s="404"/>
      <c r="M49" s="404"/>
      <c r="N49" s="404"/>
    </row>
    <row r="50" spans="1:14" ht="12.75">
      <c r="A50" s="404"/>
      <c r="B50" s="404"/>
      <c r="C50" s="404"/>
      <c r="D50" s="404"/>
      <c r="E50" s="404"/>
      <c r="F50" s="404"/>
      <c r="G50" s="404"/>
      <c r="H50" s="404"/>
      <c r="I50" s="404"/>
      <c r="J50" s="404"/>
      <c r="K50" s="404"/>
      <c r="L50" s="404"/>
      <c r="M50" s="404"/>
      <c r="N50" s="404"/>
    </row>
    <row r="51" spans="1:14" ht="12.75">
      <c r="A51" s="404"/>
      <c r="B51" s="404"/>
      <c r="C51" s="404"/>
      <c r="D51" s="404"/>
      <c r="E51" s="404"/>
      <c r="F51" s="404"/>
      <c r="G51" s="404"/>
      <c r="H51" s="404"/>
      <c r="I51" s="404"/>
      <c r="J51" s="404"/>
      <c r="K51" s="404"/>
      <c r="L51" s="404"/>
      <c r="M51" s="404"/>
      <c r="N51" s="404"/>
    </row>
    <row r="52" spans="1:14" ht="12.75">
      <c r="A52" s="404"/>
      <c r="B52" s="404"/>
      <c r="C52" s="404"/>
      <c r="D52" s="404"/>
      <c r="E52" s="404"/>
      <c r="F52" s="404"/>
      <c r="G52" s="404"/>
      <c r="H52" s="404"/>
      <c r="I52" s="404"/>
      <c r="J52" s="404"/>
      <c r="K52" s="404"/>
      <c r="L52" s="404"/>
      <c r="M52" s="404"/>
      <c r="N52" s="404"/>
    </row>
    <row r="53" spans="1:14" ht="12.75">
      <c r="A53" s="404"/>
      <c r="B53" s="404"/>
      <c r="C53" s="404"/>
      <c r="D53" s="404"/>
      <c r="E53" s="404"/>
      <c r="F53" s="404"/>
      <c r="G53" s="404"/>
      <c r="H53" s="404"/>
      <c r="I53" s="404"/>
      <c r="J53" s="404"/>
      <c r="K53" s="404"/>
      <c r="L53" s="404"/>
      <c r="M53" s="404"/>
      <c r="N53" s="404"/>
    </row>
    <row r="54" spans="1:14" ht="12.75">
      <c r="A54" s="404"/>
      <c r="B54" s="404"/>
      <c r="C54" s="404"/>
      <c r="D54" s="404"/>
      <c r="E54" s="404"/>
      <c r="F54" s="404"/>
      <c r="G54" s="404"/>
      <c r="H54" s="404"/>
      <c r="I54" s="404"/>
      <c r="J54" s="404"/>
      <c r="K54" s="404"/>
      <c r="L54" s="404"/>
      <c r="M54" s="404"/>
      <c r="N54" s="404"/>
    </row>
    <row r="55" spans="1:14" ht="12.75">
      <c r="A55" s="161"/>
      <c r="B55" s="161"/>
      <c r="C55" s="161"/>
      <c r="D55" s="161"/>
      <c r="E55" s="161"/>
      <c r="F55" s="161"/>
      <c r="G55" s="161"/>
      <c r="H55" s="161"/>
      <c r="I55" s="161"/>
      <c r="J55" s="161"/>
      <c r="K55" s="161"/>
      <c r="L55" s="161"/>
      <c r="M55" s="161"/>
      <c r="N55" s="161"/>
    </row>
    <row r="56" spans="1:14" ht="12.75">
      <c r="A56" s="161"/>
      <c r="B56" s="161"/>
      <c r="C56" s="161"/>
      <c r="D56" s="161"/>
      <c r="E56" s="161"/>
      <c r="F56" s="161"/>
      <c r="G56" s="161"/>
      <c r="H56" s="161"/>
      <c r="I56" s="161"/>
      <c r="J56" s="161"/>
      <c r="K56" s="161"/>
      <c r="L56" s="161"/>
      <c r="M56" s="161"/>
      <c r="N56" s="161"/>
    </row>
    <row r="57" spans="1:14" ht="12.75">
      <c r="A57" s="161"/>
      <c r="B57" s="161"/>
      <c r="C57" s="161"/>
      <c r="D57" s="161"/>
      <c r="E57" s="161"/>
      <c r="F57" s="161"/>
      <c r="G57" s="161"/>
      <c r="H57" s="161"/>
      <c r="I57" s="161"/>
      <c r="J57" s="161"/>
      <c r="K57" s="161"/>
      <c r="L57" s="161"/>
      <c r="M57" s="161"/>
      <c r="N57" s="161"/>
    </row>
    <row r="58" spans="1:14" ht="12.75">
      <c r="A58" s="161"/>
      <c r="B58" s="161"/>
      <c r="C58" s="161"/>
      <c r="D58" s="161"/>
      <c r="E58" s="161"/>
      <c r="F58" s="161"/>
      <c r="G58" s="161"/>
      <c r="H58" s="161"/>
      <c r="I58" s="161"/>
      <c r="J58" s="161"/>
      <c r="K58" s="161"/>
      <c r="L58" s="161"/>
      <c r="M58" s="161"/>
      <c r="N58" s="161"/>
    </row>
  </sheetData>
  <sheetProtection/>
  <mergeCells count="8">
    <mergeCell ref="I25:J25"/>
    <mergeCell ref="K25:L25"/>
    <mergeCell ref="D36:E36"/>
    <mergeCell ref="B37:C37"/>
    <mergeCell ref="I3:L3"/>
    <mergeCell ref="I4:J4"/>
    <mergeCell ref="K4:L4"/>
    <mergeCell ref="I24:L24"/>
  </mergeCell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H32"/>
  <sheetViews>
    <sheetView showGridLines="0" zoomScalePageLayoutView="0" workbookViewId="0" topLeftCell="A1">
      <selection activeCell="H4" sqref="H4"/>
    </sheetView>
  </sheetViews>
  <sheetFormatPr defaultColWidth="11.421875" defaultRowHeight="12.75"/>
  <cols>
    <col min="8" max="8" width="19.57421875" style="0" customWidth="1"/>
  </cols>
  <sheetData>
    <row r="1" spans="1:8" ht="15" thickBot="1">
      <c r="A1" s="412" t="s">
        <v>1141</v>
      </c>
      <c r="B1" s="413"/>
      <c r="C1" s="413"/>
      <c r="D1" s="414"/>
      <c r="E1" s="414"/>
      <c r="F1" s="414"/>
      <c r="G1" s="414"/>
      <c r="H1" s="414"/>
    </row>
    <row r="2" spans="1:8" ht="68.25" thickBot="1">
      <c r="A2" s="415" t="s">
        <v>1142</v>
      </c>
      <c r="B2" s="416" t="s">
        <v>1143</v>
      </c>
      <c r="C2" s="415" t="s">
        <v>1144</v>
      </c>
      <c r="D2" s="415" t="s">
        <v>1145</v>
      </c>
      <c r="E2" s="1191" t="s">
        <v>1146</v>
      </c>
      <c r="F2" s="1192"/>
      <c r="G2" s="416" t="s">
        <v>1147</v>
      </c>
      <c r="H2" s="416" t="s">
        <v>1103</v>
      </c>
    </row>
    <row r="3" spans="1:8" ht="12.75">
      <c r="A3" s="417"/>
      <c r="B3" s="417"/>
      <c r="C3" s="417"/>
      <c r="D3" s="417"/>
      <c r="E3" s="417" t="s">
        <v>1148</v>
      </c>
      <c r="F3" s="417" t="s">
        <v>1149</v>
      </c>
      <c r="G3" s="417"/>
      <c r="H3" s="417"/>
    </row>
    <row r="4" spans="1:8" ht="12.75">
      <c r="A4" s="418"/>
      <c r="B4" s="418"/>
      <c r="C4" s="418"/>
      <c r="D4" s="418"/>
      <c r="E4" s="418"/>
      <c r="F4" s="418"/>
      <c r="G4" s="418"/>
      <c r="H4" s="418"/>
    </row>
    <row r="5" spans="1:8" ht="12.75">
      <c r="A5" s="418"/>
      <c r="B5" s="418"/>
      <c r="C5" s="418"/>
      <c r="D5" s="418"/>
      <c r="E5" s="418"/>
      <c r="F5" s="418"/>
      <c r="G5" s="418"/>
      <c r="H5" s="418"/>
    </row>
    <row r="6" spans="1:8" ht="12.75">
      <c r="A6" s="418"/>
      <c r="B6" s="418"/>
      <c r="C6" s="418"/>
      <c r="D6" s="418"/>
      <c r="E6" s="418"/>
      <c r="F6" s="418"/>
      <c r="G6" s="418"/>
      <c r="H6" s="418"/>
    </row>
    <row r="7" spans="1:8" ht="12.75">
      <c r="A7" s="418"/>
      <c r="B7" s="418"/>
      <c r="C7" s="418"/>
      <c r="D7" s="418"/>
      <c r="E7" s="418"/>
      <c r="F7" s="418"/>
      <c r="G7" s="418"/>
      <c r="H7" s="418"/>
    </row>
    <row r="8" spans="1:8" ht="12.75">
      <c r="A8" s="418"/>
      <c r="B8" s="418"/>
      <c r="C8" s="418"/>
      <c r="D8" s="418"/>
      <c r="E8" s="418"/>
      <c r="F8" s="418"/>
      <c r="G8" s="418"/>
      <c r="H8" s="418"/>
    </row>
    <row r="9" spans="1:8" ht="12.75">
      <c r="A9" s="418"/>
      <c r="B9" s="418"/>
      <c r="C9" s="418"/>
      <c r="D9" s="418"/>
      <c r="E9" s="418"/>
      <c r="F9" s="418"/>
      <c r="G9" s="418"/>
      <c r="H9" s="418"/>
    </row>
    <row r="10" spans="1:8" ht="12.75">
      <c r="A10" s="418"/>
      <c r="B10" s="418"/>
      <c r="C10" s="418"/>
      <c r="D10" s="418"/>
      <c r="E10" s="418"/>
      <c r="F10" s="418"/>
      <c r="G10" s="418"/>
      <c r="H10" s="418"/>
    </row>
    <row r="11" spans="1:8" ht="12.75">
      <c r="A11" s="418"/>
      <c r="B11" s="418"/>
      <c r="C11" s="418"/>
      <c r="D11" s="418"/>
      <c r="E11" s="418"/>
      <c r="F11" s="418"/>
      <c r="G11" s="418"/>
      <c r="H11" s="418"/>
    </row>
    <row r="12" spans="1:8" ht="12.75">
      <c r="A12" s="418"/>
      <c r="B12" s="418"/>
      <c r="C12" s="418"/>
      <c r="D12" s="418"/>
      <c r="E12" s="418"/>
      <c r="F12" s="418"/>
      <c r="G12" s="418"/>
      <c r="H12" s="418"/>
    </row>
    <row r="13" spans="1:8" ht="12.75">
      <c r="A13" s="418"/>
      <c r="B13" s="418"/>
      <c r="C13" s="418"/>
      <c r="D13" s="418"/>
      <c r="E13" s="418"/>
      <c r="F13" s="418"/>
      <c r="G13" s="418"/>
      <c r="H13" s="418"/>
    </row>
    <row r="14" spans="1:8" ht="12.75">
      <c r="A14" s="418"/>
      <c r="B14" s="418"/>
      <c r="C14" s="418"/>
      <c r="D14" s="418"/>
      <c r="E14" s="418"/>
      <c r="F14" s="418"/>
      <c r="G14" s="418"/>
      <c r="H14" s="418"/>
    </row>
    <row r="15" spans="1:8" ht="12.75">
      <c r="A15" s="418"/>
      <c r="B15" s="418"/>
      <c r="C15" s="418"/>
      <c r="D15" s="418"/>
      <c r="E15" s="418"/>
      <c r="F15" s="418"/>
      <c r="G15" s="418"/>
      <c r="H15" s="418"/>
    </row>
    <row r="16" spans="1:8" ht="12.75">
      <c r="A16" s="418"/>
      <c r="B16" s="418"/>
      <c r="C16" s="418"/>
      <c r="D16" s="418"/>
      <c r="E16" s="418"/>
      <c r="F16" s="418"/>
      <c r="G16" s="418"/>
      <c r="H16" s="418"/>
    </row>
    <row r="17" spans="1:8" ht="12.75">
      <c r="A17" s="418"/>
      <c r="B17" s="418"/>
      <c r="C17" s="418"/>
      <c r="D17" s="418"/>
      <c r="E17" s="418"/>
      <c r="F17" s="418"/>
      <c r="G17" s="418"/>
      <c r="H17" s="418"/>
    </row>
    <row r="18" spans="1:8" ht="12.75">
      <c r="A18" s="418"/>
      <c r="B18" s="418"/>
      <c r="C18" s="418"/>
      <c r="D18" s="418"/>
      <c r="E18" s="418"/>
      <c r="F18" s="418"/>
      <c r="G18" s="418"/>
      <c r="H18" s="418"/>
    </row>
    <row r="19" spans="1:8" ht="12.75">
      <c r="A19" s="418"/>
      <c r="B19" s="418"/>
      <c r="C19" s="418"/>
      <c r="D19" s="418"/>
      <c r="E19" s="418"/>
      <c r="F19" s="418"/>
      <c r="G19" s="418"/>
      <c r="H19" s="418"/>
    </row>
    <row r="20" spans="1:8" ht="12.75">
      <c r="A20" s="418"/>
      <c r="B20" s="418"/>
      <c r="C20" s="418"/>
      <c r="D20" s="418"/>
      <c r="E20" s="418"/>
      <c r="F20" s="418"/>
      <c r="G20" s="418"/>
      <c r="H20" s="418"/>
    </row>
    <row r="21" spans="1:8" ht="12.75">
      <c r="A21" s="418"/>
      <c r="B21" s="418"/>
      <c r="C21" s="418"/>
      <c r="D21" s="418"/>
      <c r="E21" s="418"/>
      <c r="F21" s="418"/>
      <c r="G21" s="418"/>
      <c r="H21" s="418"/>
    </row>
    <row r="22" spans="1:8" ht="12.75">
      <c r="A22" s="418"/>
      <c r="B22" s="418"/>
      <c r="C22" s="418"/>
      <c r="D22" s="418"/>
      <c r="E22" s="418"/>
      <c r="F22" s="418"/>
      <c r="G22" s="418"/>
      <c r="H22" s="418"/>
    </row>
    <row r="23" spans="1:8" ht="12.75">
      <c r="A23" s="418"/>
      <c r="B23" s="418"/>
      <c r="C23" s="418"/>
      <c r="D23" s="418"/>
      <c r="E23" s="418"/>
      <c r="F23" s="418"/>
      <c r="G23" s="418"/>
      <c r="H23" s="418"/>
    </row>
    <row r="24" spans="1:8" ht="12.75">
      <c r="A24" s="418"/>
      <c r="B24" s="418"/>
      <c r="C24" s="418"/>
      <c r="D24" s="418"/>
      <c r="E24" s="418"/>
      <c r="F24" s="418"/>
      <c r="G24" s="418"/>
      <c r="H24" s="418"/>
    </row>
    <row r="25" spans="1:8" ht="12.75">
      <c r="A25" s="418"/>
      <c r="B25" s="418"/>
      <c r="C25" s="418"/>
      <c r="D25" s="418"/>
      <c r="E25" s="418"/>
      <c r="F25" s="418"/>
      <c r="G25" s="418"/>
      <c r="H25" s="418"/>
    </row>
    <row r="26" spans="1:8" ht="12.75">
      <c r="A26" s="418"/>
      <c r="B26" s="418"/>
      <c r="C26" s="418"/>
      <c r="D26" s="418"/>
      <c r="E26" s="418"/>
      <c r="F26" s="418"/>
      <c r="G26" s="418"/>
      <c r="H26" s="418"/>
    </row>
    <row r="27" spans="1:8" ht="12.75">
      <c r="A27" s="418"/>
      <c r="B27" s="418"/>
      <c r="C27" s="418"/>
      <c r="D27" s="418"/>
      <c r="E27" s="418"/>
      <c r="F27" s="418"/>
      <c r="G27" s="418"/>
      <c r="H27" s="418"/>
    </row>
    <row r="28" spans="1:8" ht="12.75">
      <c r="A28" s="418"/>
      <c r="B28" s="418"/>
      <c r="C28" s="418"/>
      <c r="D28" s="418"/>
      <c r="E28" s="418"/>
      <c r="F28" s="418"/>
      <c r="G28" s="418"/>
      <c r="H28" s="418"/>
    </row>
    <row r="29" spans="1:8" ht="12.75">
      <c r="A29" s="418"/>
      <c r="B29" s="418"/>
      <c r="C29" s="418"/>
      <c r="D29" s="418"/>
      <c r="E29" s="418"/>
      <c r="F29" s="418"/>
      <c r="G29" s="418"/>
      <c r="H29" s="418"/>
    </row>
    <row r="30" spans="1:8" ht="12.75">
      <c r="A30" s="418"/>
      <c r="B30" s="418"/>
      <c r="C30" s="418"/>
      <c r="D30" s="418"/>
      <c r="E30" s="418"/>
      <c r="F30" s="418"/>
      <c r="G30" s="418"/>
      <c r="H30" s="418"/>
    </row>
    <row r="31" spans="1:8" ht="12.75">
      <c r="A31" s="419"/>
      <c r="B31" s="419"/>
      <c r="C31" s="419"/>
      <c r="D31" s="419"/>
      <c r="E31" s="419"/>
      <c r="F31" s="419"/>
      <c r="G31" s="419"/>
      <c r="H31" s="419"/>
    </row>
    <row r="32" spans="1:8" ht="12.75">
      <c r="A32" s="419"/>
      <c r="B32" s="419"/>
      <c r="C32" s="419"/>
      <c r="D32" s="419"/>
      <c r="E32" s="419"/>
      <c r="F32" s="419"/>
      <c r="G32" s="419"/>
      <c r="H32" s="419"/>
    </row>
  </sheetData>
  <sheetProtection/>
  <mergeCells count="1">
    <mergeCell ref="E2:F2"/>
  </mergeCells>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2:R23"/>
  <sheetViews>
    <sheetView showGridLines="0" zoomScalePageLayoutView="0" workbookViewId="0" topLeftCell="J1">
      <selection activeCell="N9" sqref="N9"/>
    </sheetView>
  </sheetViews>
  <sheetFormatPr defaultColWidth="11.421875" defaultRowHeight="12.75"/>
  <cols>
    <col min="5" max="5" width="15.57421875" style="0" customWidth="1"/>
    <col min="8" max="8" width="12.7109375" style="0" customWidth="1"/>
    <col min="15" max="15" width="13.421875" style="0" customWidth="1"/>
    <col min="18" max="18" width="15.57421875" style="0" customWidth="1"/>
  </cols>
  <sheetData>
    <row r="2" spans="1:18" ht="12.75">
      <c r="A2" s="1197" t="s">
        <v>1167</v>
      </c>
      <c r="B2" s="1197"/>
      <c r="C2" s="1197"/>
      <c r="D2" s="1197"/>
      <c r="E2" s="1197"/>
      <c r="F2" s="1197"/>
      <c r="G2" s="1197"/>
      <c r="H2" s="1197"/>
      <c r="K2" s="1197" t="s">
        <v>1166</v>
      </c>
      <c r="L2" s="1197"/>
      <c r="M2" s="1197"/>
      <c r="N2" s="1197"/>
      <c r="O2" s="1197"/>
      <c r="P2" s="1197"/>
      <c r="Q2" s="1197"/>
      <c r="R2" s="1197"/>
    </row>
    <row r="3" spans="1:18" ht="12.75">
      <c r="A3" s="1086" t="s">
        <v>1165</v>
      </c>
      <c r="B3" s="1086"/>
      <c r="C3" s="1086"/>
      <c r="D3" s="1086"/>
      <c r="E3" s="1086"/>
      <c r="F3" s="1086"/>
      <c r="G3" s="1086"/>
      <c r="H3" s="1086"/>
      <c r="K3" s="1086" t="s">
        <v>1164</v>
      </c>
      <c r="L3" s="1086"/>
      <c r="M3" s="1086"/>
      <c r="N3" s="1086"/>
      <c r="O3" s="1086"/>
      <c r="P3" s="1086"/>
      <c r="Q3" s="1086"/>
      <c r="R3" s="1086"/>
    </row>
    <row r="5" spans="1:11" ht="13.5" thickBot="1">
      <c r="A5" t="s">
        <v>1163</v>
      </c>
      <c r="K5" t="s">
        <v>1163</v>
      </c>
    </row>
    <row r="6" spans="1:17" ht="12.75">
      <c r="A6" t="s">
        <v>1162</v>
      </c>
      <c r="E6" s="29"/>
      <c r="F6" s="643">
        <v>130</v>
      </c>
      <c r="G6" s="644" t="s">
        <v>1156</v>
      </c>
      <c r="K6" t="s">
        <v>1162</v>
      </c>
      <c r="O6" s="29"/>
      <c r="P6" s="643">
        <v>130</v>
      </c>
      <c r="Q6" s="644" t="s">
        <v>1156</v>
      </c>
    </row>
    <row r="7" spans="1:17" ht="12.75">
      <c r="A7" t="s">
        <v>1161</v>
      </c>
      <c r="E7" s="58" t="s">
        <v>1159</v>
      </c>
      <c r="F7" s="356">
        <v>130</v>
      </c>
      <c r="G7" s="556" t="s">
        <v>1156</v>
      </c>
      <c r="K7" t="s">
        <v>1160</v>
      </c>
      <c r="O7" s="58" t="s">
        <v>1159</v>
      </c>
      <c r="P7" s="356">
        <v>130</v>
      </c>
      <c r="Q7" s="556" t="s">
        <v>1156</v>
      </c>
    </row>
    <row r="8" spans="5:17" ht="13.5" thickBot="1">
      <c r="E8" s="645" t="s">
        <v>1158</v>
      </c>
      <c r="F8" s="646">
        <v>5</v>
      </c>
      <c r="G8" s="647" t="s">
        <v>1156</v>
      </c>
      <c r="O8" s="645" t="s">
        <v>1157</v>
      </c>
      <c r="P8" s="646">
        <v>5</v>
      </c>
      <c r="Q8" s="647" t="s">
        <v>1156</v>
      </c>
    </row>
    <row r="10" spans="12:15" ht="15.75" thickBot="1">
      <c r="L10" s="57"/>
      <c r="M10" s="1193"/>
      <c r="N10" s="1193"/>
      <c r="O10" s="1193"/>
    </row>
    <row r="11" spans="2:15" ht="15.75" thickBot="1">
      <c r="B11" s="57"/>
      <c r="C11" s="1194" t="s">
        <v>1155</v>
      </c>
      <c r="D11" s="1195"/>
      <c r="E11" s="1196"/>
      <c r="L11" s="57"/>
      <c r="M11" s="1194" t="s">
        <v>1155</v>
      </c>
      <c r="N11" s="1195"/>
      <c r="O11" s="1196"/>
    </row>
    <row r="12" spans="2:15" ht="51.75" thickBot="1">
      <c r="B12" s="420" t="s">
        <v>1153</v>
      </c>
      <c r="C12" s="421" t="s">
        <v>1152</v>
      </c>
      <c r="D12" s="421" t="s">
        <v>1151</v>
      </c>
      <c r="E12" s="422" t="s">
        <v>1154</v>
      </c>
      <c r="L12" s="420" t="s">
        <v>1153</v>
      </c>
      <c r="M12" s="423" t="s">
        <v>1152</v>
      </c>
      <c r="N12" s="424" t="s">
        <v>1151</v>
      </c>
      <c r="O12" s="425" t="s">
        <v>1150</v>
      </c>
    </row>
    <row r="13" spans="2:15" ht="12.75">
      <c r="B13" s="426">
        <v>120</v>
      </c>
      <c r="C13" s="426">
        <f aca="true" t="shared" si="0" ref="C13:C23">B13*1</f>
        <v>120</v>
      </c>
      <c r="D13" s="426">
        <v>130</v>
      </c>
      <c r="E13" s="426">
        <f>IF(D13&gt;C13,D13-$F$8,C13-$F$8)</f>
        <v>125</v>
      </c>
      <c r="L13" s="426">
        <v>120</v>
      </c>
      <c r="M13" s="426">
        <f aca="true" t="shared" si="1" ref="M13:M23">L13*1</f>
        <v>120</v>
      </c>
      <c r="N13" s="427">
        <v>130</v>
      </c>
      <c r="O13" s="426">
        <f>IF(N13&lt;M13,N13+$P$8,M13+$P$8)</f>
        <v>125</v>
      </c>
    </row>
    <row r="14" spans="2:15" ht="12.75">
      <c r="B14" s="428">
        <v>122</v>
      </c>
      <c r="C14" s="428">
        <f t="shared" si="0"/>
        <v>122</v>
      </c>
      <c r="D14" s="428">
        <v>130</v>
      </c>
      <c r="E14" s="428">
        <f aca="true" t="shared" si="2" ref="E14:E23">IF(D14&gt;C14,D14-$F$8,C14-$F$8)</f>
        <v>125</v>
      </c>
      <c r="L14" s="428">
        <v>122</v>
      </c>
      <c r="M14" s="428">
        <f t="shared" si="1"/>
        <v>122</v>
      </c>
      <c r="N14" s="429">
        <v>130</v>
      </c>
      <c r="O14" s="428">
        <f aca="true" t="shared" si="3" ref="O14:O23">IF(N14&lt;M14,N14+$P$8,M14+$P$8)</f>
        <v>127</v>
      </c>
    </row>
    <row r="15" spans="2:15" ht="12.75">
      <c r="B15" s="428">
        <v>124</v>
      </c>
      <c r="C15" s="428">
        <f t="shared" si="0"/>
        <v>124</v>
      </c>
      <c r="D15" s="430">
        <v>130</v>
      </c>
      <c r="E15" s="428">
        <f t="shared" si="2"/>
        <v>125</v>
      </c>
      <c r="L15" s="428">
        <v>124</v>
      </c>
      <c r="M15" s="428">
        <f t="shared" si="1"/>
        <v>124</v>
      </c>
      <c r="N15" s="431">
        <v>130</v>
      </c>
      <c r="O15" s="428">
        <f t="shared" si="3"/>
        <v>129</v>
      </c>
    </row>
    <row r="16" spans="2:15" ht="12.75">
      <c r="B16" s="428">
        <v>126</v>
      </c>
      <c r="C16" s="428">
        <f t="shared" si="0"/>
        <v>126</v>
      </c>
      <c r="D16" s="428">
        <v>130</v>
      </c>
      <c r="E16" s="428">
        <f t="shared" si="2"/>
        <v>125</v>
      </c>
      <c r="L16" s="428">
        <v>126</v>
      </c>
      <c r="M16" s="428">
        <f t="shared" si="1"/>
        <v>126</v>
      </c>
      <c r="N16" s="429">
        <v>130</v>
      </c>
      <c r="O16" s="428">
        <f t="shared" si="3"/>
        <v>131</v>
      </c>
    </row>
    <row r="17" spans="2:15" ht="12.75">
      <c r="B17" s="428">
        <v>128</v>
      </c>
      <c r="C17" s="428">
        <f t="shared" si="0"/>
        <v>128</v>
      </c>
      <c r="D17" s="430">
        <v>130</v>
      </c>
      <c r="E17" s="428">
        <f t="shared" si="2"/>
        <v>125</v>
      </c>
      <c r="L17" s="428">
        <v>128</v>
      </c>
      <c r="M17" s="428">
        <f t="shared" si="1"/>
        <v>128</v>
      </c>
      <c r="N17" s="431">
        <v>130</v>
      </c>
      <c r="O17" s="428">
        <f t="shared" si="3"/>
        <v>133</v>
      </c>
    </row>
    <row r="18" spans="2:15" ht="12.75">
      <c r="B18" s="432">
        <v>130</v>
      </c>
      <c r="C18" s="432">
        <f t="shared" si="0"/>
        <v>130</v>
      </c>
      <c r="D18" s="432">
        <v>130</v>
      </c>
      <c r="E18" s="428">
        <f t="shared" si="2"/>
        <v>125</v>
      </c>
      <c r="L18" s="432">
        <v>130</v>
      </c>
      <c r="M18" s="432">
        <f t="shared" si="1"/>
        <v>130</v>
      </c>
      <c r="N18" s="433">
        <v>130</v>
      </c>
      <c r="O18" s="428">
        <f t="shared" si="3"/>
        <v>135</v>
      </c>
    </row>
    <row r="19" spans="2:15" ht="12.75">
      <c r="B19" s="428">
        <v>132</v>
      </c>
      <c r="C19" s="428">
        <f t="shared" si="0"/>
        <v>132</v>
      </c>
      <c r="D19" s="430">
        <v>130</v>
      </c>
      <c r="E19" s="428">
        <f t="shared" si="2"/>
        <v>127</v>
      </c>
      <c r="L19" s="428">
        <v>132</v>
      </c>
      <c r="M19" s="428">
        <f t="shared" si="1"/>
        <v>132</v>
      </c>
      <c r="N19" s="431">
        <v>130</v>
      </c>
      <c r="O19" s="428">
        <f t="shared" si="3"/>
        <v>135</v>
      </c>
    </row>
    <row r="20" spans="2:15" ht="12.75">
      <c r="B20" s="428">
        <v>134</v>
      </c>
      <c r="C20" s="428">
        <f t="shared" si="0"/>
        <v>134</v>
      </c>
      <c r="D20" s="428">
        <v>130</v>
      </c>
      <c r="E20" s="428">
        <f t="shared" si="2"/>
        <v>129</v>
      </c>
      <c r="L20" s="428">
        <v>134</v>
      </c>
      <c r="M20" s="428">
        <f t="shared" si="1"/>
        <v>134</v>
      </c>
      <c r="N20" s="429">
        <v>130</v>
      </c>
      <c r="O20" s="428">
        <f t="shared" si="3"/>
        <v>135</v>
      </c>
    </row>
    <row r="21" spans="2:15" ht="12.75">
      <c r="B21" s="428">
        <v>136</v>
      </c>
      <c r="C21" s="428">
        <f t="shared" si="0"/>
        <v>136</v>
      </c>
      <c r="D21" s="430">
        <v>130</v>
      </c>
      <c r="E21" s="428">
        <f t="shared" si="2"/>
        <v>131</v>
      </c>
      <c r="L21" s="428">
        <v>136</v>
      </c>
      <c r="M21" s="428">
        <f t="shared" si="1"/>
        <v>136</v>
      </c>
      <c r="N21" s="431">
        <v>130</v>
      </c>
      <c r="O21" s="428">
        <f t="shared" si="3"/>
        <v>135</v>
      </c>
    </row>
    <row r="22" spans="2:15" ht="12.75">
      <c r="B22" s="428">
        <v>138</v>
      </c>
      <c r="C22" s="428">
        <f t="shared" si="0"/>
        <v>138</v>
      </c>
      <c r="D22" s="428">
        <v>130</v>
      </c>
      <c r="E22" s="428">
        <f t="shared" si="2"/>
        <v>133</v>
      </c>
      <c r="L22" s="428">
        <v>138</v>
      </c>
      <c r="M22" s="428">
        <f t="shared" si="1"/>
        <v>138</v>
      </c>
      <c r="N22" s="429">
        <v>130</v>
      </c>
      <c r="O22" s="428">
        <f t="shared" si="3"/>
        <v>135</v>
      </c>
    </row>
    <row r="23" spans="2:15" ht="13.5" thickBot="1">
      <c r="B23" s="434">
        <v>140</v>
      </c>
      <c r="C23" s="434">
        <f t="shared" si="0"/>
        <v>140</v>
      </c>
      <c r="D23" s="434">
        <v>130</v>
      </c>
      <c r="E23" s="435">
        <f t="shared" si="2"/>
        <v>135</v>
      </c>
      <c r="L23" s="434">
        <v>140</v>
      </c>
      <c r="M23" s="435">
        <f t="shared" si="1"/>
        <v>140</v>
      </c>
      <c r="N23" s="436">
        <v>130</v>
      </c>
      <c r="O23" s="435">
        <f t="shared" si="3"/>
        <v>135</v>
      </c>
    </row>
  </sheetData>
  <sheetProtection/>
  <mergeCells count="7">
    <mergeCell ref="M10:O10"/>
    <mergeCell ref="C11:E11"/>
    <mergeCell ref="M11:O11"/>
    <mergeCell ref="A2:H2"/>
    <mergeCell ref="K2:R2"/>
    <mergeCell ref="A3:H3"/>
    <mergeCell ref="K3:R3"/>
  </mergeCell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dimension ref="A1:S59"/>
  <sheetViews>
    <sheetView zoomScalePageLayoutView="0" workbookViewId="0" topLeftCell="A1">
      <selection activeCell="A60" sqref="A60"/>
    </sheetView>
  </sheetViews>
  <sheetFormatPr defaultColWidth="11.421875" defaultRowHeight="12.75"/>
  <cols>
    <col min="1" max="1" width="34.8515625" style="0" customWidth="1"/>
  </cols>
  <sheetData>
    <row r="1" ht="13.5" thickBot="1">
      <c r="A1" t="s">
        <v>279</v>
      </c>
    </row>
    <row r="2" spans="1:16" ht="26.25" thickBot="1">
      <c r="A2" s="660" t="s">
        <v>718</v>
      </c>
      <c r="B2" s="661" t="s">
        <v>161</v>
      </c>
      <c r="C2" s="661" t="s">
        <v>162</v>
      </c>
      <c r="D2" s="661" t="s">
        <v>163</v>
      </c>
      <c r="E2" s="661" t="s">
        <v>164</v>
      </c>
      <c r="F2" s="661" t="s">
        <v>165</v>
      </c>
      <c r="G2" s="661" t="s">
        <v>166</v>
      </c>
      <c r="H2" s="661" t="s">
        <v>167</v>
      </c>
      <c r="I2" s="661" t="s">
        <v>168</v>
      </c>
      <c r="J2" s="661" t="s">
        <v>169</v>
      </c>
      <c r="K2" s="661" t="s">
        <v>170</v>
      </c>
      <c r="L2" s="661" t="s">
        <v>171</v>
      </c>
      <c r="M2" s="661" t="s">
        <v>172</v>
      </c>
      <c r="N2" s="661" t="s">
        <v>173</v>
      </c>
      <c r="O2" s="662" t="s">
        <v>64</v>
      </c>
      <c r="P2" s="63"/>
    </row>
    <row r="3" spans="1:19" ht="12.75">
      <c r="A3" s="31" t="s">
        <v>174</v>
      </c>
      <c r="B3" s="32">
        <v>0</v>
      </c>
      <c r="C3" s="32">
        <v>3500</v>
      </c>
      <c r="D3" s="32">
        <v>2450</v>
      </c>
      <c r="E3" s="32">
        <v>1600</v>
      </c>
      <c r="F3" s="32">
        <v>6800</v>
      </c>
      <c r="G3" s="32">
        <v>7500</v>
      </c>
      <c r="H3" s="32">
        <v>1200</v>
      </c>
      <c r="I3" s="32">
        <v>1500</v>
      </c>
      <c r="J3" s="32">
        <v>3600</v>
      </c>
      <c r="K3" s="32">
        <v>4200</v>
      </c>
      <c r="L3" s="32">
        <v>950</v>
      </c>
      <c r="M3" s="32">
        <v>2300</v>
      </c>
      <c r="N3" s="32">
        <v>4800</v>
      </c>
      <c r="O3" s="32">
        <f>SUM(B3:N3)</f>
        <v>40400</v>
      </c>
      <c r="P3" s="351"/>
      <c r="Q3" s="351"/>
      <c r="R3" s="351"/>
      <c r="S3" s="351"/>
    </row>
    <row r="4" spans="1:19" ht="12.75">
      <c r="A4" s="33" t="s">
        <v>175</v>
      </c>
      <c r="B4" s="34">
        <v>0</v>
      </c>
      <c r="C4" s="34">
        <v>1200</v>
      </c>
      <c r="D4" s="34">
        <v>2640</v>
      </c>
      <c r="E4" s="34">
        <v>1850</v>
      </c>
      <c r="F4" s="34">
        <v>2500</v>
      </c>
      <c r="G4" s="34">
        <v>3950</v>
      </c>
      <c r="H4" s="34">
        <v>3600</v>
      </c>
      <c r="I4" s="34">
        <v>2250</v>
      </c>
      <c r="J4" s="34">
        <v>2900</v>
      </c>
      <c r="K4" s="34">
        <v>2850</v>
      </c>
      <c r="L4" s="34">
        <v>3600</v>
      </c>
      <c r="M4" s="34">
        <v>3450</v>
      </c>
      <c r="N4" s="34">
        <v>2640</v>
      </c>
      <c r="O4" s="34">
        <f>SUM(B4:N4)</f>
        <v>33430</v>
      </c>
      <c r="P4" s="351"/>
      <c r="Q4" s="351"/>
      <c r="R4" s="351"/>
      <c r="S4" s="351"/>
    </row>
    <row r="5" spans="1:19" ht="12.75">
      <c r="A5" s="33" t="s">
        <v>1101</v>
      </c>
      <c r="B5" s="34">
        <v>250</v>
      </c>
      <c r="C5" s="34">
        <f aca="true" t="shared" si="0" ref="C5:O5">C4-C3</f>
        <v>-2300</v>
      </c>
      <c r="D5" s="34">
        <f t="shared" si="0"/>
        <v>190</v>
      </c>
      <c r="E5" s="34">
        <f t="shared" si="0"/>
        <v>250</v>
      </c>
      <c r="F5" s="34">
        <f t="shared" si="0"/>
        <v>-4300</v>
      </c>
      <c r="G5" s="34">
        <f t="shared" si="0"/>
        <v>-3550</v>
      </c>
      <c r="H5" s="34">
        <f t="shared" si="0"/>
        <v>2400</v>
      </c>
      <c r="I5" s="34">
        <f t="shared" si="0"/>
        <v>750</v>
      </c>
      <c r="J5" s="34">
        <f t="shared" si="0"/>
        <v>-700</v>
      </c>
      <c r="K5" s="34">
        <f t="shared" si="0"/>
        <v>-1350</v>
      </c>
      <c r="L5" s="34">
        <f t="shared" si="0"/>
        <v>2650</v>
      </c>
      <c r="M5" s="34">
        <f t="shared" si="0"/>
        <v>1150</v>
      </c>
      <c r="N5" s="34">
        <f t="shared" si="0"/>
        <v>-2160</v>
      </c>
      <c r="O5" s="34">
        <f t="shared" si="0"/>
        <v>-6970</v>
      </c>
      <c r="P5" s="351"/>
      <c r="Q5" s="351"/>
      <c r="R5" s="351"/>
      <c r="S5" s="351"/>
    </row>
    <row r="6" spans="1:19" ht="12.75">
      <c r="A6" s="33" t="s">
        <v>176</v>
      </c>
      <c r="B6" s="34">
        <v>0</v>
      </c>
      <c r="C6" s="34">
        <v>150</v>
      </c>
      <c r="D6" s="34">
        <v>0</v>
      </c>
      <c r="E6" s="34">
        <v>0</v>
      </c>
      <c r="F6" s="34">
        <v>650</v>
      </c>
      <c r="G6" s="34">
        <v>890</v>
      </c>
      <c r="H6" s="34">
        <v>0</v>
      </c>
      <c r="I6" s="34">
        <v>0</v>
      </c>
      <c r="J6" s="34">
        <v>450</v>
      </c>
      <c r="K6" s="34">
        <v>650</v>
      </c>
      <c r="L6" s="34">
        <v>0</v>
      </c>
      <c r="M6" s="34">
        <v>0</v>
      </c>
      <c r="N6" s="34">
        <v>350</v>
      </c>
      <c r="O6" s="34">
        <f>SUM(B6:N6)</f>
        <v>3140</v>
      </c>
      <c r="P6" s="351"/>
      <c r="Q6" s="351"/>
      <c r="R6" s="351"/>
      <c r="S6" s="351"/>
    </row>
    <row r="7" spans="1:19" ht="12.75">
      <c r="A7" s="33" t="s">
        <v>177</v>
      </c>
      <c r="B7" s="34">
        <v>250</v>
      </c>
      <c r="C7" s="34">
        <f aca="true" t="shared" si="1" ref="C7:O7">C5+C6</f>
        <v>-2150</v>
      </c>
      <c r="D7" s="34">
        <f t="shared" si="1"/>
        <v>190</v>
      </c>
      <c r="E7" s="34">
        <f t="shared" si="1"/>
        <v>250</v>
      </c>
      <c r="F7" s="34">
        <f t="shared" si="1"/>
        <v>-3650</v>
      </c>
      <c r="G7" s="34">
        <f t="shared" si="1"/>
        <v>-2660</v>
      </c>
      <c r="H7" s="34">
        <f t="shared" si="1"/>
        <v>2400</v>
      </c>
      <c r="I7" s="34">
        <f t="shared" si="1"/>
        <v>750</v>
      </c>
      <c r="J7" s="34">
        <f t="shared" si="1"/>
        <v>-250</v>
      </c>
      <c r="K7" s="34">
        <f t="shared" si="1"/>
        <v>-700</v>
      </c>
      <c r="L7" s="34">
        <f t="shared" si="1"/>
        <v>2650</v>
      </c>
      <c r="M7" s="34">
        <f t="shared" si="1"/>
        <v>1150</v>
      </c>
      <c r="N7" s="34">
        <f t="shared" si="1"/>
        <v>-1810</v>
      </c>
      <c r="O7" s="34">
        <f t="shared" si="1"/>
        <v>-3830</v>
      </c>
      <c r="P7" s="351"/>
      <c r="Q7" s="351"/>
      <c r="R7" s="351"/>
      <c r="S7" s="351"/>
    </row>
    <row r="8" spans="1:19" ht="12.75">
      <c r="A8" s="33" t="s">
        <v>178</v>
      </c>
      <c r="B8" s="34">
        <v>0</v>
      </c>
      <c r="C8" s="34">
        <v>1800</v>
      </c>
      <c r="D8" s="34">
        <v>1900</v>
      </c>
      <c r="E8" s="34">
        <v>1200</v>
      </c>
      <c r="F8" s="34">
        <v>6200</v>
      </c>
      <c r="G8" s="34">
        <v>6850</v>
      </c>
      <c r="H8" s="34">
        <v>960</v>
      </c>
      <c r="I8" s="34">
        <v>850</v>
      </c>
      <c r="J8" s="34">
        <v>3000</v>
      </c>
      <c r="K8" s="34">
        <v>3600</v>
      </c>
      <c r="L8" s="34">
        <v>500</v>
      </c>
      <c r="M8" s="34">
        <v>1850</v>
      </c>
      <c r="N8" s="34">
        <v>4250</v>
      </c>
      <c r="O8" s="34">
        <f>SUM(B8:N8)</f>
        <v>32960</v>
      </c>
      <c r="P8" s="351"/>
      <c r="Q8" s="351"/>
      <c r="R8" s="351"/>
      <c r="S8" s="351"/>
    </row>
    <row r="9" spans="1:19" ht="12.75">
      <c r="A9" s="33" t="s">
        <v>179</v>
      </c>
      <c r="B9" s="34">
        <v>0</v>
      </c>
      <c r="C9" s="34">
        <v>314</v>
      </c>
      <c r="D9" s="34">
        <v>450</v>
      </c>
      <c r="E9" s="34">
        <v>160</v>
      </c>
      <c r="F9" s="34">
        <v>750</v>
      </c>
      <c r="G9" s="34">
        <v>900</v>
      </c>
      <c r="H9" s="34">
        <v>120</v>
      </c>
      <c r="I9" s="34">
        <v>89</v>
      </c>
      <c r="J9" s="34">
        <v>95</v>
      </c>
      <c r="K9" s="34">
        <v>435</v>
      </c>
      <c r="L9" s="34">
        <v>50</v>
      </c>
      <c r="M9" s="34">
        <v>25</v>
      </c>
      <c r="N9" s="34">
        <v>365</v>
      </c>
      <c r="O9" s="34">
        <f>SUM(B9:N9)</f>
        <v>3753</v>
      </c>
      <c r="P9" s="351"/>
      <c r="Q9" s="351"/>
      <c r="R9" s="351"/>
      <c r="S9" s="351"/>
    </row>
    <row r="10" spans="1:19" ht="12.75">
      <c r="A10" s="33" t="s">
        <v>180</v>
      </c>
      <c r="B10" s="34">
        <v>0</v>
      </c>
      <c r="C10" s="34">
        <v>1750</v>
      </c>
      <c r="D10" s="34">
        <v>1300</v>
      </c>
      <c r="E10" s="34">
        <v>1650</v>
      </c>
      <c r="F10" s="34">
        <v>1150</v>
      </c>
      <c r="G10" s="34">
        <v>3450</v>
      </c>
      <c r="H10" s="34">
        <v>2200</v>
      </c>
      <c r="I10" s="34">
        <v>2300</v>
      </c>
      <c r="J10" s="34">
        <v>2500</v>
      </c>
      <c r="K10" s="34">
        <v>2650</v>
      </c>
      <c r="L10" s="34">
        <v>2450</v>
      </c>
      <c r="M10" s="34">
        <v>1600</v>
      </c>
      <c r="N10" s="34">
        <v>1250</v>
      </c>
      <c r="O10" s="34">
        <f>SUM(B10:N10)</f>
        <v>24250</v>
      </c>
      <c r="P10" s="351"/>
      <c r="Q10" s="351"/>
      <c r="R10" s="351"/>
      <c r="S10" s="351"/>
    </row>
    <row r="11" spans="1:19" ht="12.75">
      <c r="A11" s="33" t="s">
        <v>181</v>
      </c>
      <c r="B11" s="34">
        <v>1500</v>
      </c>
      <c r="C11" s="34">
        <f aca="true" t="shared" si="2" ref="C11:O11">C8+C9-C10</f>
        <v>364</v>
      </c>
      <c r="D11" s="34">
        <f t="shared" si="2"/>
        <v>1050</v>
      </c>
      <c r="E11" s="34">
        <f t="shared" si="2"/>
        <v>-290</v>
      </c>
      <c r="F11" s="34">
        <f t="shared" si="2"/>
        <v>5800</v>
      </c>
      <c r="G11" s="34">
        <f t="shared" si="2"/>
        <v>4300</v>
      </c>
      <c r="H11" s="34">
        <f t="shared" si="2"/>
        <v>-1120</v>
      </c>
      <c r="I11" s="34">
        <f t="shared" si="2"/>
        <v>-1361</v>
      </c>
      <c r="J11" s="34">
        <f t="shared" si="2"/>
        <v>595</v>
      </c>
      <c r="K11" s="34">
        <f t="shared" si="2"/>
        <v>1385</v>
      </c>
      <c r="L11" s="34">
        <f t="shared" si="2"/>
        <v>-1900</v>
      </c>
      <c r="M11" s="34">
        <f t="shared" si="2"/>
        <v>275</v>
      </c>
      <c r="N11" s="34">
        <f t="shared" si="2"/>
        <v>3365</v>
      </c>
      <c r="O11" s="34">
        <f t="shared" si="2"/>
        <v>12463</v>
      </c>
      <c r="P11" s="351"/>
      <c r="Q11" s="351"/>
      <c r="R11" s="351"/>
      <c r="S11" s="351"/>
    </row>
    <row r="12" spans="2:19" ht="12.75">
      <c r="B12" s="351"/>
      <c r="C12" s="351"/>
      <c r="D12" s="351"/>
      <c r="E12" s="351"/>
      <c r="F12" s="351"/>
      <c r="G12" s="351"/>
      <c r="H12" s="351"/>
      <c r="I12" s="351"/>
      <c r="J12" s="351"/>
      <c r="K12" s="351"/>
      <c r="L12" s="351"/>
      <c r="M12" s="351"/>
      <c r="N12" s="351"/>
      <c r="O12" s="351"/>
      <c r="P12" s="351"/>
      <c r="Q12" s="351"/>
      <c r="R12" s="351"/>
      <c r="S12" s="351"/>
    </row>
    <row r="13" spans="1:19" ht="25.5">
      <c r="A13" s="663" t="s">
        <v>718</v>
      </c>
      <c r="B13" s="663" t="s">
        <v>182</v>
      </c>
      <c r="C13" s="663" t="s">
        <v>183</v>
      </c>
      <c r="D13" s="351"/>
      <c r="E13" s="351"/>
      <c r="F13" s="351"/>
      <c r="G13" s="351"/>
      <c r="H13" s="351"/>
      <c r="I13" s="351"/>
      <c r="J13" s="351"/>
      <c r="K13" s="351"/>
      <c r="L13" s="351"/>
      <c r="M13" s="351"/>
      <c r="N13" s="351"/>
      <c r="O13" s="351"/>
      <c r="P13" s="351"/>
      <c r="Q13" s="351"/>
      <c r="R13" s="351"/>
      <c r="S13" s="351"/>
    </row>
    <row r="14" spans="1:19" ht="12.75">
      <c r="A14" s="33" t="s">
        <v>184</v>
      </c>
      <c r="C14" s="34">
        <f>O3</f>
        <v>40400</v>
      </c>
      <c r="D14" s="351"/>
      <c r="E14" s="351"/>
      <c r="F14" s="351"/>
      <c r="G14" s="351"/>
      <c r="H14" s="351"/>
      <c r="I14" s="351"/>
      <c r="J14" s="351"/>
      <c r="K14" s="351"/>
      <c r="L14" s="351"/>
      <c r="M14" s="351"/>
      <c r="N14" s="351"/>
      <c r="O14" s="351"/>
      <c r="P14" s="351"/>
      <c r="Q14" s="351"/>
      <c r="R14" s="351"/>
      <c r="S14" s="351"/>
    </row>
    <row r="15" spans="1:19" ht="12.75">
      <c r="A15" s="33" t="s">
        <v>185</v>
      </c>
      <c r="B15" s="34">
        <f>O4</f>
        <v>33430</v>
      </c>
      <c r="C15" s="34"/>
      <c r="D15" s="351"/>
      <c r="E15" s="351"/>
      <c r="F15" s="351"/>
      <c r="G15" s="351"/>
      <c r="H15" s="351"/>
      <c r="I15" s="351"/>
      <c r="J15" s="351"/>
      <c r="K15" s="351"/>
      <c r="L15" s="351"/>
      <c r="M15" s="351"/>
      <c r="N15" s="351"/>
      <c r="O15" s="351"/>
      <c r="P15" s="351"/>
      <c r="Q15" s="351"/>
      <c r="R15" s="351"/>
      <c r="S15" s="351"/>
    </row>
    <row r="16" spans="1:19" ht="12.75">
      <c r="A16" s="33" t="s">
        <v>186</v>
      </c>
      <c r="B16" s="34">
        <f>O6</f>
        <v>3140</v>
      </c>
      <c r="C16" s="34"/>
      <c r="D16" s="351"/>
      <c r="E16" s="351"/>
      <c r="F16" s="351"/>
      <c r="G16" s="351"/>
      <c r="H16" s="351"/>
      <c r="I16" s="351"/>
      <c r="J16" s="351"/>
      <c r="K16" s="351"/>
      <c r="L16" s="351"/>
      <c r="M16" s="351"/>
      <c r="N16" s="351"/>
      <c r="O16" s="351"/>
      <c r="P16" s="351"/>
      <c r="Q16" s="351"/>
      <c r="R16" s="351"/>
      <c r="S16" s="351"/>
    </row>
    <row r="17" spans="1:19" ht="12.75">
      <c r="A17" s="33" t="s">
        <v>64</v>
      </c>
      <c r="B17" s="34">
        <f>SUM(B14:B16)</f>
        <v>36570</v>
      </c>
      <c r="C17" s="34">
        <f>SUM(C14:C16)</f>
        <v>40400</v>
      </c>
      <c r="D17" s="351"/>
      <c r="E17" s="351"/>
      <c r="F17" s="351"/>
      <c r="G17" s="351"/>
      <c r="H17" s="351"/>
      <c r="I17" s="351"/>
      <c r="J17" s="351"/>
      <c r="K17" s="351"/>
      <c r="L17" s="351"/>
      <c r="M17" s="351"/>
      <c r="N17" s="351"/>
      <c r="O17" s="351"/>
      <c r="P17" s="351"/>
      <c r="Q17" s="351"/>
      <c r="R17" s="351"/>
      <c r="S17" s="351"/>
    </row>
    <row r="18" spans="1:19" ht="12.75">
      <c r="A18" s="33" t="s">
        <v>187</v>
      </c>
      <c r="B18" s="34">
        <v>0</v>
      </c>
      <c r="C18" s="664">
        <f>C17-B17</f>
        <v>3830</v>
      </c>
      <c r="D18" s="351"/>
      <c r="E18" s="351"/>
      <c r="F18" s="351"/>
      <c r="G18" s="351"/>
      <c r="H18" s="351"/>
      <c r="I18" s="351"/>
      <c r="J18" s="351"/>
      <c r="K18" s="351"/>
      <c r="L18" s="351"/>
      <c r="M18" s="351"/>
      <c r="N18" s="351"/>
      <c r="O18" s="351"/>
      <c r="P18" s="351"/>
      <c r="Q18" s="351"/>
      <c r="R18" s="351"/>
      <c r="S18" s="351"/>
    </row>
    <row r="19" spans="4:19" ht="12.75">
      <c r="D19" s="351"/>
      <c r="E19" s="351"/>
      <c r="F19" s="351"/>
      <c r="G19" s="351"/>
      <c r="H19" s="351"/>
      <c r="I19" s="351"/>
      <c r="J19" s="351"/>
      <c r="K19" s="351"/>
      <c r="L19" s="351"/>
      <c r="M19" s="351"/>
      <c r="N19" s="351"/>
      <c r="O19" s="351"/>
      <c r="P19" s="351"/>
      <c r="Q19" s="351"/>
      <c r="R19" s="351"/>
      <c r="S19" s="351"/>
    </row>
    <row r="20" spans="4:19" ht="12.75">
      <c r="D20" s="351"/>
      <c r="E20" s="351"/>
      <c r="F20" s="351"/>
      <c r="G20" s="351"/>
      <c r="H20" s="351"/>
      <c r="I20" s="351"/>
      <c r="J20" s="351"/>
      <c r="K20" s="351"/>
      <c r="L20" s="351"/>
      <c r="M20" s="351"/>
      <c r="N20" s="351"/>
      <c r="O20" s="351"/>
      <c r="P20" s="351"/>
      <c r="Q20" s="351"/>
      <c r="R20" s="351"/>
      <c r="S20" s="351"/>
    </row>
    <row r="21" spans="1:19" ht="25.5">
      <c r="A21" s="663" t="s">
        <v>718</v>
      </c>
      <c r="B21" s="663" t="s">
        <v>182</v>
      </c>
      <c r="C21" s="663" t="s">
        <v>183</v>
      </c>
      <c r="D21" s="351"/>
      <c r="E21" s="351"/>
      <c r="F21" s="351"/>
      <c r="G21" s="351"/>
      <c r="H21" s="351"/>
      <c r="I21" s="351"/>
      <c r="J21" s="351"/>
      <c r="K21" s="351"/>
      <c r="L21" s="351"/>
      <c r="M21" s="351"/>
      <c r="N21" s="351"/>
      <c r="O21" s="351"/>
      <c r="P21" s="351"/>
      <c r="Q21" s="351"/>
      <c r="R21" s="351"/>
      <c r="S21" s="351"/>
    </row>
    <row r="22" spans="1:19" ht="12.75">
      <c r="A22" s="33" t="s">
        <v>188</v>
      </c>
      <c r="B22" s="34">
        <f>O8</f>
        <v>32960</v>
      </c>
      <c r="C22" s="34"/>
      <c r="D22" s="351"/>
      <c r="E22" s="351"/>
      <c r="F22" s="351"/>
      <c r="G22" s="351"/>
      <c r="H22" s="351"/>
      <c r="I22" s="351"/>
      <c r="J22" s="351"/>
      <c r="K22" s="351"/>
      <c r="L22" s="351"/>
      <c r="M22" s="351"/>
      <c r="N22" s="351"/>
      <c r="O22" s="351"/>
      <c r="P22" s="351"/>
      <c r="Q22" s="351"/>
      <c r="R22" s="351"/>
      <c r="S22" s="351"/>
    </row>
    <row r="23" spans="1:19" ht="12.75">
      <c r="A23" s="33" t="s">
        <v>189</v>
      </c>
      <c r="B23" s="34">
        <f>O9</f>
        <v>3753</v>
      </c>
      <c r="C23" s="34"/>
      <c r="D23" s="351"/>
      <c r="E23" s="351"/>
      <c r="F23" s="351"/>
      <c r="G23" s="351"/>
      <c r="H23" s="351"/>
      <c r="I23" s="351"/>
      <c r="J23" s="351"/>
      <c r="K23" s="351"/>
      <c r="L23" s="351"/>
      <c r="M23" s="351"/>
      <c r="N23" s="351"/>
      <c r="O23" s="351"/>
      <c r="P23" s="351"/>
      <c r="Q23" s="351"/>
      <c r="R23" s="351"/>
      <c r="S23" s="351"/>
    </row>
    <row r="24" spans="1:19" ht="12.75">
      <c r="A24" s="33" t="s">
        <v>190</v>
      </c>
      <c r="C24" s="34">
        <f>O10</f>
        <v>24250</v>
      </c>
      <c r="D24" s="351"/>
      <c r="E24" s="351"/>
      <c r="F24" s="351"/>
      <c r="G24" s="351"/>
      <c r="H24" s="351"/>
      <c r="I24" s="351"/>
      <c r="J24" s="351"/>
      <c r="K24" s="351"/>
      <c r="L24" s="351"/>
      <c r="M24" s="351"/>
      <c r="N24" s="351"/>
      <c r="O24" s="351"/>
      <c r="P24" s="351"/>
      <c r="Q24" s="351"/>
      <c r="R24" s="351"/>
      <c r="S24" s="351"/>
    </row>
    <row r="25" spans="1:19" ht="12.75">
      <c r="A25" s="33" t="s">
        <v>64</v>
      </c>
      <c r="B25" s="34">
        <f>SUM(B22:B24)</f>
        <v>36713</v>
      </c>
      <c r="C25" s="34">
        <f>SUM(C22:C24)</f>
        <v>24250</v>
      </c>
      <c r="D25" s="351"/>
      <c r="E25" s="351"/>
      <c r="F25" s="351"/>
      <c r="G25" s="351"/>
      <c r="H25" s="351"/>
      <c r="I25" s="351"/>
      <c r="J25" s="351"/>
      <c r="K25" s="351"/>
      <c r="L25" s="351"/>
      <c r="M25" s="351"/>
      <c r="N25" s="351"/>
      <c r="O25" s="351"/>
      <c r="P25" s="351"/>
      <c r="Q25" s="351"/>
      <c r="R25" s="351"/>
      <c r="S25" s="351"/>
    </row>
    <row r="26" spans="1:3" ht="12.75">
      <c r="A26" s="665" t="s">
        <v>187</v>
      </c>
      <c r="B26" s="664">
        <f>B25-C25</f>
        <v>12463</v>
      </c>
      <c r="C26" s="34">
        <v>0</v>
      </c>
    </row>
    <row r="27" spans="1:3" ht="12.75">
      <c r="A27" s="666"/>
      <c r="B27" s="451"/>
      <c r="C27" s="451"/>
    </row>
    <row r="28" spans="1:3" ht="12.75">
      <c r="A28" s="666"/>
      <c r="B28" s="451"/>
      <c r="C28" s="451"/>
    </row>
    <row r="29" spans="1:3" ht="12.75">
      <c r="A29" s="666"/>
      <c r="B29" s="451"/>
      <c r="C29" s="451"/>
    </row>
    <row r="30" spans="1:3" ht="12.75">
      <c r="A30" s="666"/>
      <c r="B30" s="451"/>
      <c r="C30" s="451"/>
    </row>
    <row r="31" spans="1:3" ht="12.75">
      <c r="A31" s="666"/>
      <c r="B31" s="451"/>
      <c r="C31" s="451"/>
    </row>
    <row r="32" spans="1:3" ht="12.75">
      <c r="A32" s="666"/>
      <c r="B32" s="451"/>
      <c r="C32" s="451"/>
    </row>
    <row r="33" spans="1:3" ht="12.75">
      <c r="A33" s="666"/>
      <c r="B33" s="451"/>
      <c r="C33" s="451"/>
    </row>
    <row r="34" spans="1:4" ht="12.75">
      <c r="A34" s="667" t="s">
        <v>191</v>
      </c>
      <c r="B34" s="668"/>
      <c r="C34" s="668"/>
      <c r="D34" s="669"/>
    </row>
    <row r="35" spans="1:4" ht="12.75">
      <c r="A35" s="670" t="s">
        <v>192</v>
      </c>
      <c r="B35" s="671">
        <f>B26-C18</f>
        <v>8633</v>
      </c>
      <c r="C35" s="669"/>
      <c r="D35" s="669"/>
    </row>
    <row r="38" ht="13.5" thickBot="1">
      <c r="A38" t="s">
        <v>193</v>
      </c>
    </row>
    <row r="39" spans="1:15" ht="26.25" thickBot="1">
      <c r="A39" s="660" t="s">
        <v>718</v>
      </c>
      <c r="B39" s="661" t="s">
        <v>161</v>
      </c>
      <c r="C39" s="661" t="s">
        <v>162</v>
      </c>
      <c r="D39" s="661" t="s">
        <v>163</v>
      </c>
      <c r="E39" s="661" t="s">
        <v>164</v>
      </c>
      <c r="F39" s="661" t="s">
        <v>165</v>
      </c>
      <c r="G39" s="661" t="s">
        <v>166</v>
      </c>
      <c r="H39" s="661" t="s">
        <v>167</v>
      </c>
      <c r="I39" s="661" t="s">
        <v>168</v>
      </c>
      <c r="J39" s="661" t="s">
        <v>169</v>
      </c>
      <c r="K39" s="661" t="s">
        <v>170</v>
      </c>
      <c r="L39" s="661" t="s">
        <v>171</v>
      </c>
      <c r="M39" s="661" t="s">
        <v>172</v>
      </c>
      <c r="N39" s="662" t="s">
        <v>173</v>
      </c>
      <c r="O39" s="63"/>
    </row>
    <row r="40" spans="1:15" ht="12.75">
      <c r="A40" s="31" t="s">
        <v>174</v>
      </c>
      <c r="B40" s="32">
        <v>0</v>
      </c>
      <c r="C40" s="32">
        <v>3500</v>
      </c>
      <c r="D40" s="32">
        <v>2450</v>
      </c>
      <c r="E40" s="32">
        <v>1600</v>
      </c>
      <c r="F40" s="32">
        <v>6800</v>
      </c>
      <c r="G40" s="32">
        <v>7500</v>
      </c>
      <c r="H40" s="32">
        <v>1200</v>
      </c>
      <c r="I40" s="32">
        <v>1500</v>
      </c>
      <c r="J40" s="32">
        <v>3600</v>
      </c>
      <c r="K40" s="32">
        <v>4200</v>
      </c>
      <c r="L40" s="32">
        <v>950</v>
      </c>
      <c r="M40" s="32">
        <v>2300</v>
      </c>
      <c r="N40" s="32">
        <v>4800</v>
      </c>
      <c r="O40" s="351"/>
    </row>
    <row r="41" spans="1:15" ht="12.75">
      <c r="A41" s="33" t="s">
        <v>175</v>
      </c>
      <c r="B41" s="34">
        <v>0</v>
      </c>
      <c r="C41" s="34">
        <v>1200</v>
      </c>
      <c r="D41" s="34">
        <v>2640</v>
      </c>
      <c r="E41" s="34">
        <v>1850</v>
      </c>
      <c r="F41" s="34">
        <v>2500</v>
      </c>
      <c r="G41" s="34">
        <v>3950</v>
      </c>
      <c r="H41" s="34">
        <v>3600</v>
      </c>
      <c r="I41" s="34">
        <v>2250</v>
      </c>
      <c r="J41" s="34">
        <v>2900</v>
      </c>
      <c r="K41" s="34">
        <v>2850</v>
      </c>
      <c r="L41" s="34">
        <v>3600</v>
      </c>
      <c r="M41" s="34">
        <v>3450</v>
      </c>
      <c r="N41" s="34">
        <v>2640</v>
      </c>
      <c r="O41" s="351"/>
    </row>
    <row r="42" spans="1:15" ht="12.75">
      <c r="A42" s="33" t="s">
        <v>1101</v>
      </c>
      <c r="B42" s="34">
        <v>250</v>
      </c>
      <c r="C42" s="34">
        <f aca="true" t="shared" si="3" ref="C42:N42">C41-C40</f>
        <v>-2300</v>
      </c>
      <c r="D42" s="34">
        <f t="shared" si="3"/>
        <v>190</v>
      </c>
      <c r="E42" s="34">
        <f t="shared" si="3"/>
        <v>250</v>
      </c>
      <c r="F42" s="34">
        <f t="shared" si="3"/>
        <v>-4300</v>
      </c>
      <c r="G42" s="34">
        <f t="shared" si="3"/>
        <v>-3550</v>
      </c>
      <c r="H42" s="34">
        <f t="shared" si="3"/>
        <v>2400</v>
      </c>
      <c r="I42" s="34">
        <f t="shared" si="3"/>
        <v>750</v>
      </c>
      <c r="J42" s="34">
        <f t="shared" si="3"/>
        <v>-700</v>
      </c>
      <c r="K42" s="34">
        <f t="shared" si="3"/>
        <v>-1350</v>
      </c>
      <c r="L42" s="34">
        <f t="shared" si="3"/>
        <v>2650</v>
      </c>
      <c r="M42" s="34">
        <f t="shared" si="3"/>
        <v>1150</v>
      </c>
      <c r="N42" s="34">
        <f t="shared" si="3"/>
        <v>-2160</v>
      </c>
      <c r="O42" s="351"/>
    </row>
    <row r="43" spans="1:15" ht="12.75">
      <c r="A43" s="33" t="s">
        <v>176</v>
      </c>
      <c r="B43" s="34">
        <v>0</v>
      </c>
      <c r="C43" s="34">
        <v>150</v>
      </c>
      <c r="D43" s="34">
        <v>0</v>
      </c>
      <c r="E43" s="34">
        <v>0</v>
      </c>
      <c r="F43" s="34">
        <v>650</v>
      </c>
      <c r="G43" s="34">
        <v>890</v>
      </c>
      <c r="H43" s="34">
        <v>0</v>
      </c>
      <c r="I43" s="34">
        <v>0</v>
      </c>
      <c r="J43" s="34">
        <v>450</v>
      </c>
      <c r="K43" s="34">
        <v>650</v>
      </c>
      <c r="L43" s="34">
        <v>0</v>
      </c>
      <c r="M43" s="34">
        <v>0</v>
      </c>
      <c r="N43" s="34">
        <v>350</v>
      </c>
      <c r="O43" s="351"/>
    </row>
    <row r="44" spans="1:15" ht="12.75">
      <c r="A44" s="343" t="s">
        <v>177</v>
      </c>
      <c r="B44" s="672">
        <v>250</v>
      </c>
      <c r="C44" s="672">
        <f>C42+C43</f>
        <v>-2150</v>
      </c>
      <c r="D44" s="672">
        <f>D42+D43</f>
        <v>190</v>
      </c>
      <c r="E44" s="672">
        <f>E42+E43+D44</f>
        <v>440</v>
      </c>
      <c r="F44" s="672">
        <f>F42+F43+E44</f>
        <v>-3210</v>
      </c>
      <c r="G44" s="672">
        <f>G42+G43</f>
        <v>-2660</v>
      </c>
      <c r="H44" s="672">
        <f>H42+H43</f>
        <v>2400</v>
      </c>
      <c r="I44" s="672">
        <f aca="true" t="shared" si="4" ref="I44:N44">I42+I43+H44</f>
        <v>3150</v>
      </c>
      <c r="J44" s="672">
        <f t="shared" si="4"/>
        <v>2900</v>
      </c>
      <c r="K44" s="672">
        <f t="shared" si="4"/>
        <v>2200</v>
      </c>
      <c r="L44" s="672">
        <f t="shared" si="4"/>
        <v>4850</v>
      </c>
      <c r="M44" s="672">
        <f t="shared" si="4"/>
        <v>6000</v>
      </c>
      <c r="N44" s="672">
        <f t="shared" si="4"/>
        <v>4190</v>
      </c>
      <c r="O44" s="351"/>
    </row>
    <row r="45" spans="1:15" ht="12.75">
      <c r="A45" s="33" t="s">
        <v>178</v>
      </c>
      <c r="B45" s="34">
        <v>0</v>
      </c>
      <c r="C45" s="34">
        <v>1800</v>
      </c>
      <c r="D45" s="34">
        <v>1900</v>
      </c>
      <c r="E45" s="34">
        <v>1200</v>
      </c>
      <c r="F45" s="34">
        <v>6200</v>
      </c>
      <c r="G45" s="34">
        <v>6850</v>
      </c>
      <c r="H45" s="34">
        <v>960</v>
      </c>
      <c r="I45" s="34">
        <v>850</v>
      </c>
      <c r="J45" s="34">
        <v>3000</v>
      </c>
      <c r="K45" s="34">
        <v>3600</v>
      </c>
      <c r="L45" s="34">
        <v>500</v>
      </c>
      <c r="M45" s="34">
        <v>1850</v>
      </c>
      <c r="N45" s="34">
        <v>4250</v>
      </c>
      <c r="O45" s="351"/>
    </row>
    <row r="46" spans="1:15" ht="12.75">
      <c r="A46" s="33" t="s">
        <v>179</v>
      </c>
      <c r="B46" s="34">
        <v>0</v>
      </c>
      <c r="C46" s="34">
        <v>314</v>
      </c>
      <c r="D46" s="34">
        <v>450</v>
      </c>
      <c r="E46" s="34">
        <v>160</v>
      </c>
      <c r="F46" s="34">
        <v>750</v>
      </c>
      <c r="G46" s="34">
        <v>900</v>
      </c>
      <c r="H46" s="34">
        <v>120</v>
      </c>
      <c r="I46" s="34">
        <v>89</v>
      </c>
      <c r="J46" s="34">
        <v>95</v>
      </c>
      <c r="K46" s="34">
        <v>435</v>
      </c>
      <c r="L46" s="34">
        <v>50</v>
      </c>
      <c r="M46" s="34">
        <v>25</v>
      </c>
      <c r="N46" s="34">
        <v>365</v>
      </c>
      <c r="O46" s="351"/>
    </row>
    <row r="47" spans="1:15" ht="12.75">
      <c r="A47" s="33" t="s">
        <v>180</v>
      </c>
      <c r="B47" s="34">
        <v>0</v>
      </c>
      <c r="C47" s="34">
        <v>1750</v>
      </c>
      <c r="D47" s="34">
        <v>1300</v>
      </c>
      <c r="E47" s="34">
        <v>1650</v>
      </c>
      <c r="F47" s="34">
        <v>1150</v>
      </c>
      <c r="G47" s="34">
        <v>3450</v>
      </c>
      <c r="H47" s="34">
        <v>2200</v>
      </c>
      <c r="I47" s="34">
        <v>2300</v>
      </c>
      <c r="J47" s="34">
        <v>2500</v>
      </c>
      <c r="K47" s="34">
        <v>2650</v>
      </c>
      <c r="L47" s="34">
        <v>2450</v>
      </c>
      <c r="M47" s="34">
        <v>1600</v>
      </c>
      <c r="N47" s="34">
        <v>1250</v>
      </c>
      <c r="O47" s="351"/>
    </row>
    <row r="48" spans="1:15" ht="12.75">
      <c r="A48" s="343" t="s">
        <v>194</v>
      </c>
      <c r="B48" s="672">
        <v>1500</v>
      </c>
      <c r="C48" s="672">
        <f>B48+C45+C46-C47+C44</f>
        <v>-286</v>
      </c>
      <c r="D48" s="672">
        <f>D45+D46-D47</f>
        <v>1050</v>
      </c>
      <c r="E48" s="672">
        <f>D48+E45+E46-E47</f>
        <v>760</v>
      </c>
      <c r="F48" s="672">
        <f>E48+F45+F46-F47+F44</f>
        <v>3350</v>
      </c>
      <c r="G48" s="672">
        <f>F48+G45+G46-G47+G44</f>
        <v>4990</v>
      </c>
      <c r="H48" s="672">
        <f aca="true" t="shared" si="5" ref="H48:N48">G48+H45+H46-H47</f>
        <v>3870</v>
      </c>
      <c r="I48" s="672">
        <f t="shared" si="5"/>
        <v>2509</v>
      </c>
      <c r="J48" s="672">
        <f t="shared" si="5"/>
        <v>3104</v>
      </c>
      <c r="K48" s="672">
        <f t="shared" si="5"/>
        <v>4489</v>
      </c>
      <c r="L48" s="672">
        <f t="shared" si="5"/>
        <v>2589</v>
      </c>
      <c r="M48" s="672">
        <f t="shared" si="5"/>
        <v>2864</v>
      </c>
      <c r="N48" s="673">
        <f t="shared" si="5"/>
        <v>6229</v>
      </c>
      <c r="O48" s="351"/>
    </row>
    <row r="49" spans="2:15" ht="12.75">
      <c r="B49" s="351"/>
      <c r="C49" s="351"/>
      <c r="D49" s="351"/>
      <c r="E49" s="351"/>
      <c r="F49" s="351"/>
      <c r="G49" s="351"/>
      <c r="H49" s="351"/>
      <c r="I49" s="351"/>
      <c r="J49" s="351"/>
      <c r="K49" s="351"/>
      <c r="L49" s="351"/>
      <c r="M49" s="351"/>
      <c r="N49" s="351"/>
      <c r="O49" s="351"/>
    </row>
    <row r="50" spans="2:15" ht="12.75">
      <c r="B50" s="351"/>
      <c r="C50" s="351"/>
      <c r="D50" s="351"/>
      <c r="E50" s="351"/>
      <c r="F50" s="351"/>
      <c r="G50" s="351"/>
      <c r="H50" s="351"/>
      <c r="I50" s="351"/>
      <c r="J50" s="351"/>
      <c r="K50" s="351"/>
      <c r="L50" s="351"/>
      <c r="M50" s="351"/>
      <c r="N50" s="351"/>
      <c r="O50" s="351"/>
    </row>
    <row r="51" spans="2:15" ht="12.75">
      <c r="B51" s="351"/>
      <c r="C51" s="351"/>
      <c r="D51" s="351"/>
      <c r="E51" s="351"/>
      <c r="F51" s="351"/>
      <c r="G51" s="351"/>
      <c r="H51" s="351"/>
      <c r="I51" s="351"/>
      <c r="J51" s="351"/>
      <c r="K51" s="351"/>
      <c r="L51" s="351"/>
      <c r="M51" s="351"/>
      <c r="N51" s="351"/>
      <c r="O51" s="351"/>
    </row>
    <row r="52" spans="1:15" ht="12.75">
      <c r="A52" s="25" t="s">
        <v>195</v>
      </c>
      <c r="B52" s="351"/>
      <c r="C52" s="351"/>
      <c r="D52" s="351"/>
      <c r="E52" s="351"/>
      <c r="F52" s="351"/>
      <c r="G52" s="351"/>
      <c r="H52" s="351"/>
      <c r="I52" s="351"/>
      <c r="J52" s="351"/>
      <c r="K52" s="351"/>
      <c r="L52" s="351"/>
      <c r="M52" s="351"/>
      <c r="N52" s="351"/>
      <c r="O52" s="351"/>
    </row>
    <row r="53" spans="1:15" ht="12.75">
      <c r="A53" s="33" t="s">
        <v>196</v>
      </c>
      <c r="B53" s="34">
        <f>N44</f>
        <v>4190</v>
      </c>
      <c r="C53" s="351" t="s">
        <v>197</v>
      </c>
      <c r="D53" s="351"/>
      <c r="E53" s="351"/>
      <c r="F53" s="351"/>
      <c r="G53" s="351"/>
      <c r="H53" s="351"/>
      <c r="I53" s="351"/>
      <c r="J53" s="351"/>
      <c r="K53" s="351"/>
      <c r="L53" s="351"/>
      <c r="M53" s="351"/>
      <c r="N53" s="351"/>
      <c r="O53" s="351"/>
    </row>
    <row r="54" spans="1:15" ht="12.75">
      <c r="A54" s="33" t="s">
        <v>198</v>
      </c>
      <c r="B54" s="34">
        <f>N48+C48</f>
        <v>5943</v>
      </c>
      <c r="C54" s="351" t="s">
        <v>199</v>
      </c>
      <c r="D54" s="351"/>
      <c r="E54" s="351"/>
      <c r="F54" s="351"/>
      <c r="G54" s="351"/>
      <c r="H54" s="351"/>
      <c r="I54" s="351"/>
      <c r="J54" s="351"/>
      <c r="K54" s="351"/>
      <c r="L54" s="351"/>
      <c r="M54" s="351"/>
      <c r="N54" s="351"/>
      <c r="O54" s="351"/>
    </row>
    <row r="55" spans="2:15" ht="12.75">
      <c r="B55" s="351"/>
      <c r="C55" s="351"/>
      <c r="D55" s="351"/>
      <c r="E55" s="351"/>
      <c r="F55" s="351"/>
      <c r="G55" s="351"/>
      <c r="H55" s="351"/>
      <c r="I55" s="351"/>
      <c r="J55" s="351"/>
      <c r="K55" s="351"/>
      <c r="L55" s="351"/>
      <c r="M55" s="351"/>
      <c r="N55" s="351"/>
      <c r="O55" s="351"/>
    </row>
    <row r="56" spans="2:15" ht="12.75">
      <c r="B56" s="351"/>
      <c r="C56" s="351"/>
      <c r="D56" s="351"/>
      <c r="E56" s="351"/>
      <c r="F56" s="351"/>
      <c r="G56" s="351"/>
      <c r="H56" s="351"/>
      <c r="I56" s="351"/>
      <c r="J56" s="351"/>
      <c r="K56" s="351"/>
      <c r="L56" s="351"/>
      <c r="M56" s="351"/>
      <c r="N56" s="351"/>
      <c r="O56" s="351"/>
    </row>
    <row r="57" spans="2:15" ht="12.75">
      <c r="B57" s="351"/>
      <c r="C57" s="351"/>
      <c r="D57" s="351"/>
      <c r="E57" s="351"/>
      <c r="F57" s="351"/>
      <c r="G57" s="351"/>
      <c r="H57" s="351"/>
      <c r="I57" s="351"/>
      <c r="J57" s="351"/>
      <c r="K57" s="351"/>
      <c r="L57" s="351"/>
      <c r="M57" s="351"/>
      <c r="N57" s="351"/>
      <c r="O57" s="351"/>
    </row>
    <row r="58" spans="2:15" ht="12.75">
      <c r="B58" s="351"/>
      <c r="C58" s="351"/>
      <c r="D58" s="351"/>
      <c r="E58" s="351"/>
      <c r="F58" s="351"/>
      <c r="G58" s="351"/>
      <c r="H58" s="351"/>
      <c r="I58" s="351"/>
      <c r="J58" s="351"/>
      <c r="K58" s="351"/>
      <c r="L58" s="351"/>
      <c r="M58" s="351"/>
      <c r="N58" s="351"/>
      <c r="O58" s="351"/>
    </row>
    <row r="59" spans="2:15" ht="12.75">
      <c r="B59" s="351"/>
      <c r="C59" s="351"/>
      <c r="D59" s="351"/>
      <c r="E59" s="351"/>
      <c r="F59" s="351"/>
      <c r="G59" s="351"/>
      <c r="H59" s="351"/>
      <c r="I59" s="351"/>
      <c r="J59" s="351"/>
      <c r="K59" s="351"/>
      <c r="L59" s="351"/>
      <c r="M59" s="351"/>
      <c r="N59" s="351"/>
      <c r="O59" s="351"/>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C13" sqref="C13"/>
    </sheetView>
  </sheetViews>
  <sheetFormatPr defaultColWidth="11.421875" defaultRowHeight="12.75"/>
  <cols>
    <col min="1" max="1" width="29.7109375" style="0" customWidth="1"/>
    <col min="3" max="3" width="14.7109375" style="0" customWidth="1"/>
  </cols>
  <sheetData>
    <row r="1" spans="1:3" ht="13.5" thickBot="1">
      <c r="A1" s="1098" t="s">
        <v>138</v>
      </c>
      <c r="B1" s="1099"/>
      <c r="C1" s="1100"/>
    </row>
    <row r="2" spans="1:3" ht="13.5" customHeight="1" thickBot="1">
      <c r="A2" s="1101" t="s">
        <v>672</v>
      </c>
      <c r="B2" s="1096" t="s">
        <v>673</v>
      </c>
      <c r="C2" s="1097"/>
    </row>
    <row r="3" spans="1:3" ht="13.5" thickBot="1">
      <c r="A3" s="1102"/>
      <c r="B3" s="113" t="s">
        <v>674</v>
      </c>
      <c r="C3" s="114" t="s">
        <v>675</v>
      </c>
    </row>
    <row r="4" spans="1:3" ht="12.75">
      <c r="A4" s="118" t="s">
        <v>676</v>
      </c>
      <c r="B4" s="32">
        <f>1*'calculo uta'!D35</f>
        <v>0</v>
      </c>
      <c r="C4" s="119">
        <f>1*'calculo uta'!D40</f>
        <v>0</v>
      </c>
    </row>
    <row r="5" spans="1:3" ht="12.75">
      <c r="A5" s="120" t="s">
        <v>677</v>
      </c>
      <c r="B5" s="34">
        <f>1*'calculo uta'!B46</f>
        <v>0</v>
      </c>
      <c r="C5" s="121">
        <f>1*'calculo uta'!D46</f>
        <v>0</v>
      </c>
    </row>
    <row r="6" spans="1:3" ht="12.75">
      <c r="A6" s="120" t="s">
        <v>678</v>
      </c>
      <c r="B6" s="34">
        <f>1*'calculo uta'!B47</f>
        <v>0</v>
      </c>
      <c r="C6" s="121">
        <f>1*'calculo uta'!D47</f>
        <v>0</v>
      </c>
    </row>
    <row r="7" spans="1:3" ht="12.75">
      <c r="A7" s="120" t="s">
        <v>679</v>
      </c>
      <c r="B7" s="34">
        <f>1*'calculo uta'!D52</f>
        <v>0</v>
      </c>
      <c r="C7" s="121">
        <f>1*'calculo uta'!D54</f>
        <v>0</v>
      </c>
    </row>
    <row r="8" spans="1:3" ht="13.5" thickBot="1">
      <c r="A8" s="122" t="s">
        <v>680</v>
      </c>
      <c r="B8" s="35">
        <f>1*'calculo uta'!D57</f>
        <v>0</v>
      </c>
      <c r="C8" s="123">
        <f>1*'calculo uta'!D59</f>
        <v>0</v>
      </c>
    </row>
    <row r="9" spans="1:3" ht="13.5" thickBot="1">
      <c r="A9" s="115" t="s">
        <v>681</v>
      </c>
      <c r="B9" s="116">
        <f>SUM(B4:B8)</f>
        <v>0</v>
      </c>
      <c r="C9" s="117">
        <f>SUM(C4:C8)</f>
        <v>0</v>
      </c>
    </row>
    <row r="10" spans="1:3" ht="12.75">
      <c r="A10" s="118" t="s">
        <v>682</v>
      </c>
      <c r="B10" s="32">
        <f>1*'calculo uta'!E72</f>
        <v>0</v>
      </c>
      <c r="C10" s="119">
        <f>1*'calculo uta'!E73</f>
        <v>0</v>
      </c>
    </row>
    <row r="11" spans="1:3" ht="13.5" thickBot="1">
      <c r="A11" s="122" t="s">
        <v>683</v>
      </c>
      <c r="B11" s="35">
        <f>1*'calculo uta'!E75</f>
        <v>0</v>
      </c>
      <c r="C11" s="123">
        <f>1*'calculo uta'!E76</f>
        <v>0</v>
      </c>
    </row>
    <row r="12" spans="1:3" ht="13.5" thickBot="1">
      <c r="A12" s="115" t="s">
        <v>575</v>
      </c>
      <c r="B12" s="116">
        <f>SUM(B10:B11)</f>
        <v>0</v>
      </c>
      <c r="C12" s="117">
        <f>SUM(C10:C11)</f>
        <v>0</v>
      </c>
    </row>
    <row r="13" spans="1:3" ht="12.75">
      <c r="A13" s="118" t="s">
        <v>684</v>
      </c>
      <c r="B13" s="32">
        <f>1*'calculo uta'!D85</f>
        <v>0</v>
      </c>
      <c r="C13" s="119">
        <f>1*'calculo uta'!D86</f>
        <v>0</v>
      </c>
    </row>
    <row r="14" spans="1:3" ht="13.5" thickBot="1">
      <c r="A14" s="122" t="s">
        <v>685</v>
      </c>
      <c r="B14" s="35">
        <f>1*'calculo uta'!D88</f>
        <v>0</v>
      </c>
      <c r="C14" s="123">
        <f>1*'calculo uta'!D89</f>
        <v>0</v>
      </c>
    </row>
    <row r="15" spans="1:3" ht="13.5" thickBot="1">
      <c r="A15" s="115" t="s">
        <v>686</v>
      </c>
      <c r="B15" s="116">
        <f>SUM(B13:B14)</f>
        <v>0</v>
      </c>
      <c r="C15" s="117">
        <f>SUM(C13:C14)</f>
        <v>0</v>
      </c>
    </row>
    <row r="16" spans="1:3" ht="13.5" thickBot="1">
      <c r="A16" s="115" t="s">
        <v>687</v>
      </c>
      <c r="B16" s="116">
        <f>B9+B12+B15</f>
        <v>0</v>
      </c>
      <c r="C16" s="117">
        <f>C9+C12+C15</f>
        <v>0</v>
      </c>
    </row>
    <row r="17" spans="1:3" ht="13.5" thickBot="1">
      <c r="A17" s="124" t="s">
        <v>697</v>
      </c>
      <c r="B17" s="37">
        <f>B16*35%</f>
        <v>0</v>
      </c>
      <c r="C17" s="125">
        <f>C16*35%</f>
        <v>0</v>
      </c>
    </row>
    <row r="18" spans="1:3" ht="13.5" thickBot="1">
      <c r="A18" s="115" t="s">
        <v>688</v>
      </c>
      <c r="B18" s="116">
        <f>SUM(B16:B17)</f>
        <v>0</v>
      </c>
      <c r="C18" s="117">
        <f>SUM(C16:C17)</f>
        <v>0</v>
      </c>
    </row>
    <row r="21" ht="13.5" thickBot="1"/>
    <row r="22" ht="13.5" thickBot="1">
      <c r="A22" s="38" t="s">
        <v>689</v>
      </c>
    </row>
    <row r="23" ht="12.75">
      <c r="A23" s="31" t="s">
        <v>690</v>
      </c>
    </row>
    <row r="24" ht="12.75">
      <c r="A24" s="33" t="s">
        <v>691</v>
      </c>
    </row>
    <row r="25" ht="12.75">
      <c r="A25" s="33" t="s">
        <v>692</v>
      </c>
    </row>
    <row r="26" ht="12.75">
      <c r="A26" s="33" t="s">
        <v>693</v>
      </c>
    </row>
  </sheetData>
  <sheetProtection/>
  <mergeCells count="3">
    <mergeCell ref="B2:C2"/>
    <mergeCell ref="A1:C1"/>
    <mergeCell ref="A2:A3"/>
  </mergeCells>
  <printOptions/>
  <pageMargins left="0.75" right="0.75" top="1" bottom="1" header="0" footer="0"/>
  <pageSetup orientation="portrait" paperSize="9"/>
</worksheet>
</file>

<file path=xl/worksheets/sheet20.xml><?xml version="1.0" encoding="utf-8"?>
<worksheet xmlns="http://schemas.openxmlformats.org/spreadsheetml/2006/main" xmlns:r="http://schemas.openxmlformats.org/officeDocument/2006/relationships">
  <dimension ref="A2:E45"/>
  <sheetViews>
    <sheetView zoomScalePageLayoutView="0" workbookViewId="0" topLeftCell="A1">
      <selection activeCell="G33" sqref="G33"/>
    </sheetView>
  </sheetViews>
  <sheetFormatPr defaultColWidth="11.421875" defaultRowHeight="12.75"/>
  <cols>
    <col min="1" max="1" width="28.7109375" style="0" customWidth="1"/>
    <col min="3" max="3" width="5.8515625" style="0" customWidth="1"/>
    <col min="4" max="4" width="27.28125" style="0" customWidth="1"/>
  </cols>
  <sheetData>
    <row r="2" spans="1:5" ht="15.75" thickBot="1">
      <c r="A2" s="1198" t="s">
        <v>200</v>
      </c>
      <c r="B2" s="1198"/>
      <c r="C2" s="1198"/>
      <c r="D2" s="1198"/>
      <c r="E2" s="1198"/>
    </row>
    <row r="3" spans="1:5" ht="12.75">
      <c r="A3" s="1199" t="s">
        <v>162</v>
      </c>
      <c r="B3" s="1200"/>
      <c r="D3" s="1199" t="s">
        <v>163</v>
      </c>
      <c r="E3" s="1200"/>
    </row>
    <row r="4" spans="1:5" ht="12.75">
      <c r="A4" s="33" t="s">
        <v>201</v>
      </c>
      <c r="B4" s="34">
        <v>250</v>
      </c>
      <c r="D4" s="33" t="s">
        <v>201</v>
      </c>
      <c r="E4" s="34">
        <v>0</v>
      </c>
    </row>
    <row r="5" spans="1:5" ht="12.75">
      <c r="A5" s="33" t="s">
        <v>202</v>
      </c>
      <c r="B5" s="34">
        <v>3500</v>
      </c>
      <c r="D5" s="33" t="s">
        <v>202</v>
      </c>
      <c r="E5" s="34">
        <v>2450</v>
      </c>
    </row>
    <row r="6" spans="1:5" ht="12.75">
      <c r="A6" s="33" t="s">
        <v>203</v>
      </c>
      <c r="B6" s="34">
        <v>1200</v>
      </c>
      <c r="D6" s="33" t="s">
        <v>203</v>
      </c>
      <c r="E6" s="34">
        <v>2640</v>
      </c>
    </row>
    <row r="7" spans="1:5" ht="12.75">
      <c r="A7" s="33" t="s">
        <v>204</v>
      </c>
      <c r="B7" s="34">
        <f>B6+B4-B5</f>
        <v>-2050</v>
      </c>
      <c r="D7" s="33" t="s">
        <v>204</v>
      </c>
      <c r="E7" s="34">
        <f>E6-E5</f>
        <v>190</v>
      </c>
    </row>
    <row r="8" spans="1:5" ht="12.75">
      <c r="A8" s="33" t="s">
        <v>205</v>
      </c>
      <c r="B8" s="34">
        <v>150</v>
      </c>
      <c r="D8" s="33" t="s">
        <v>205</v>
      </c>
      <c r="E8" s="34">
        <v>0</v>
      </c>
    </row>
    <row r="9" spans="1:5" ht="12.75">
      <c r="A9" s="33" t="s">
        <v>177</v>
      </c>
      <c r="B9" s="672">
        <f>B7+B8</f>
        <v>-1900</v>
      </c>
      <c r="D9" s="33" t="s">
        <v>177</v>
      </c>
      <c r="E9" s="34">
        <f>E7+E8</f>
        <v>190</v>
      </c>
    </row>
    <row r="10" spans="1:5" ht="12.75">
      <c r="A10" s="33"/>
      <c r="B10" s="34"/>
      <c r="D10" s="33"/>
      <c r="E10" s="34"/>
    </row>
    <row r="11" spans="1:5" ht="12.75">
      <c r="A11" s="33"/>
      <c r="B11" s="34"/>
      <c r="D11" s="33"/>
      <c r="E11" s="34"/>
    </row>
    <row r="12" spans="1:5" ht="12.75">
      <c r="A12" s="33" t="s">
        <v>206</v>
      </c>
      <c r="B12" s="34">
        <v>1500</v>
      </c>
      <c r="D12" s="33" t="s">
        <v>206</v>
      </c>
      <c r="E12" s="664">
        <f>B15+B9</f>
        <v>464</v>
      </c>
    </row>
    <row r="13" spans="1:5" ht="12.75">
      <c r="A13" s="33" t="s">
        <v>207</v>
      </c>
      <c r="B13" s="34">
        <v>2614</v>
      </c>
      <c r="D13" s="33" t="s">
        <v>207</v>
      </c>
      <c r="E13" s="34">
        <v>2350</v>
      </c>
    </row>
    <row r="14" spans="1:5" ht="12.75">
      <c r="A14" s="33" t="s">
        <v>180</v>
      </c>
      <c r="B14" s="34">
        <v>1750</v>
      </c>
      <c r="D14" s="33" t="s">
        <v>180</v>
      </c>
      <c r="E14" s="34">
        <v>1300</v>
      </c>
    </row>
    <row r="15" spans="1:5" ht="12.75">
      <c r="A15" s="33" t="s">
        <v>208</v>
      </c>
      <c r="B15" s="672">
        <f>B12+B13-B14</f>
        <v>2364</v>
      </c>
      <c r="D15" s="33" t="s">
        <v>208</v>
      </c>
      <c r="E15" s="672">
        <f>E12+E13-E14</f>
        <v>1514</v>
      </c>
    </row>
    <row r="16" ht="13.5" thickBot="1"/>
    <row r="17" spans="1:5" ht="16.5" thickBot="1">
      <c r="A17" s="1201" t="s">
        <v>209</v>
      </c>
      <c r="B17" s="1202"/>
      <c r="C17" s="1202"/>
      <c r="D17" s="1202"/>
      <c r="E17" s="1203"/>
    </row>
    <row r="18" spans="1:5" ht="12.75">
      <c r="A18" s="1204" t="s">
        <v>210</v>
      </c>
      <c r="B18" s="1205"/>
      <c r="D18" s="1204" t="s">
        <v>211</v>
      </c>
      <c r="E18" s="1205"/>
    </row>
    <row r="19" spans="1:5" ht="12.75">
      <c r="A19" s="33" t="s">
        <v>184</v>
      </c>
      <c r="B19" s="34">
        <f>B5+E5</f>
        <v>5950</v>
      </c>
      <c r="D19" s="33" t="s">
        <v>212</v>
      </c>
      <c r="E19" s="34">
        <f>B12+B13+E13</f>
        <v>6464</v>
      </c>
    </row>
    <row r="20" spans="1:5" ht="12.75">
      <c r="A20" s="33" t="s">
        <v>185</v>
      </c>
      <c r="B20" s="34">
        <f>B4+B6+E6</f>
        <v>4090</v>
      </c>
      <c r="D20" s="33" t="s">
        <v>190</v>
      </c>
      <c r="E20" s="34">
        <f>B14+E14</f>
        <v>3050</v>
      </c>
    </row>
    <row r="21" spans="1:5" ht="12.75">
      <c r="A21" s="33" t="s">
        <v>186</v>
      </c>
      <c r="B21" s="34">
        <f>B8+E8</f>
        <v>150</v>
      </c>
      <c r="D21" s="33" t="s">
        <v>213</v>
      </c>
      <c r="E21" s="34">
        <f>E19-E20</f>
        <v>3414</v>
      </c>
    </row>
    <row r="22" spans="1:5" ht="12.75">
      <c r="A22" s="33" t="s">
        <v>214</v>
      </c>
      <c r="B22" s="33"/>
      <c r="D22" s="33" t="s">
        <v>215</v>
      </c>
      <c r="E22" s="34">
        <f>B23</f>
        <v>1710</v>
      </c>
    </row>
    <row r="23" spans="1:5" ht="12.75">
      <c r="A23" s="33" t="s">
        <v>216</v>
      </c>
      <c r="B23" s="34">
        <f>B19-B20-B21</f>
        <v>1710</v>
      </c>
      <c r="D23" s="33" t="s">
        <v>217</v>
      </c>
      <c r="E23" s="674">
        <f>E21-E22</f>
        <v>1704</v>
      </c>
    </row>
    <row r="32" spans="1:5" ht="15.75" thickBot="1">
      <c r="A32" s="1198" t="s">
        <v>218</v>
      </c>
      <c r="B32" s="1198"/>
      <c r="C32" s="1198"/>
      <c r="D32" s="1198"/>
      <c r="E32" s="1198"/>
    </row>
    <row r="33" spans="1:5" ht="12.75">
      <c r="A33" s="1199" t="s">
        <v>162</v>
      </c>
      <c r="B33" s="1200"/>
      <c r="D33" s="1199" t="s">
        <v>163</v>
      </c>
      <c r="E33" s="1200"/>
    </row>
    <row r="34" spans="1:5" ht="12.75">
      <c r="A34" s="33" t="s">
        <v>201</v>
      </c>
      <c r="B34" s="34">
        <v>250</v>
      </c>
      <c r="D34" s="33" t="s">
        <v>201</v>
      </c>
      <c r="E34" s="34">
        <v>0</v>
      </c>
    </row>
    <row r="35" spans="1:5" ht="12.75">
      <c r="A35" s="33" t="s">
        <v>202</v>
      </c>
      <c r="B35" s="34">
        <v>3500</v>
      </c>
      <c r="D35" s="33" t="s">
        <v>202</v>
      </c>
      <c r="E35" s="34">
        <v>2450</v>
      </c>
    </row>
    <row r="36" spans="1:5" ht="12.75">
      <c r="A36" s="33" t="s">
        <v>203</v>
      </c>
      <c r="B36" s="34">
        <v>1200</v>
      </c>
      <c r="D36" s="33" t="s">
        <v>203</v>
      </c>
      <c r="E36" s="34">
        <v>2640</v>
      </c>
    </row>
    <row r="37" spans="1:5" ht="12.75">
      <c r="A37" s="33" t="s">
        <v>204</v>
      </c>
      <c r="B37" s="34">
        <f>B36+B34-B35</f>
        <v>-2050</v>
      </c>
      <c r="D37" s="33" t="s">
        <v>204</v>
      </c>
      <c r="E37" s="34">
        <f>E36-E35</f>
        <v>190</v>
      </c>
    </row>
    <row r="38" spans="1:5" ht="12.75">
      <c r="A38" s="33" t="s">
        <v>205</v>
      </c>
      <c r="B38" s="34">
        <v>150</v>
      </c>
      <c r="D38" s="33" t="s">
        <v>205</v>
      </c>
      <c r="E38" s="34">
        <v>0</v>
      </c>
    </row>
    <row r="39" spans="1:5" ht="12.75">
      <c r="A39" s="33" t="s">
        <v>177</v>
      </c>
      <c r="B39" s="672">
        <f>B37+B38</f>
        <v>-1900</v>
      </c>
      <c r="D39" s="33" t="s">
        <v>177</v>
      </c>
      <c r="E39" s="34">
        <f>E37+E38</f>
        <v>190</v>
      </c>
    </row>
    <row r="40" spans="1:5" ht="12.75">
      <c r="A40" s="33"/>
      <c r="B40" s="34"/>
      <c r="D40" s="33"/>
      <c r="E40" s="34"/>
    </row>
    <row r="41" spans="1:5" ht="12.75">
      <c r="A41" s="33"/>
      <c r="B41" s="34"/>
      <c r="D41" s="33"/>
      <c r="E41" s="34"/>
    </row>
    <row r="42" spans="1:5" ht="12.75">
      <c r="A42" s="33" t="s">
        <v>206</v>
      </c>
      <c r="B42" s="34">
        <v>1500</v>
      </c>
      <c r="D42" s="33" t="s">
        <v>206</v>
      </c>
      <c r="E42" s="664">
        <f>B45+B39</f>
        <v>464</v>
      </c>
    </row>
    <row r="43" spans="1:5" ht="12.75">
      <c r="A43" s="33" t="s">
        <v>207</v>
      </c>
      <c r="B43" s="34">
        <v>2614</v>
      </c>
      <c r="D43" s="33" t="s">
        <v>207</v>
      </c>
      <c r="E43" s="34">
        <v>2350</v>
      </c>
    </row>
    <row r="44" spans="1:5" ht="12.75">
      <c r="A44" s="33" t="s">
        <v>180</v>
      </c>
      <c r="B44" s="34">
        <v>1750</v>
      </c>
      <c r="D44" s="33" t="s">
        <v>180</v>
      </c>
      <c r="E44" s="34">
        <v>1300</v>
      </c>
    </row>
    <row r="45" spans="1:5" ht="12.75">
      <c r="A45" s="33" t="s">
        <v>208</v>
      </c>
      <c r="B45" s="672">
        <f>B42+B43-B44</f>
        <v>2364</v>
      </c>
      <c r="D45" s="33" t="s">
        <v>208</v>
      </c>
      <c r="E45" s="672">
        <f>E42+E43-E44</f>
        <v>1514</v>
      </c>
    </row>
  </sheetData>
  <sheetProtection/>
  <mergeCells count="9">
    <mergeCell ref="A32:E32"/>
    <mergeCell ref="A33:B33"/>
    <mergeCell ref="D33:E33"/>
    <mergeCell ref="A2:E2"/>
    <mergeCell ref="A3:B3"/>
    <mergeCell ref="D3:E3"/>
    <mergeCell ref="A17:E17"/>
    <mergeCell ref="A18:B18"/>
    <mergeCell ref="D18:E18"/>
  </mergeCell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dimension ref="A1:L146"/>
  <sheetViews>
    <sheetView zoomScalePageLayoutView="0" workbookViewId="0" topLeftCell="B1">
      <selection activeCell="B1" sqref="B1"/>
    </sheetView>
  </sheetViews>
  <sheetFormatPr defaultColWidth="11.421875" defaultRowHeight="12.75"/>
  <cols>
    <col min="1" max="1" width="36.57421875" style="0" customWidth="1"/>
    <col min="7" max="7" width="33.57421875" style="0" customWidth="1"/>
  </cols>
  <sheetData>
    <row r="1" spans="1:7" ht="12.75">
      <c r="A1" t="s">
        <v>219</v>
      </c>
      <c r="G1" t="s">
        <v>219</v>
      </c>
    </row>
    <row r="2" ht="13.5" thickBot="1"/>
    <row r="3" spans="1:12" ht="26.25" thickBot="1">
      <c r="A3" s="439" t="s">
        <v>162</v>
      </c>
      <c r="B3" s="675" t="s">
        <v>220</v>
      </c>
      <c r="C3" s="676" t="s">
        <v>221</v>
      </c>
      <c r="D3" s="675" t="s">
        <v>1168</v>
      </c>
      <c r="E3" s="677" t="s">
        <v>784</v>
      </c>
      <c r="G3" s="439" t="s">
        <v>162</v>
      </c>
      <c r="H3" s="440" t="s">
        <v>222</v>
      </c>
      <c r="I3" s="440" t="s">
        <v>221</v>
      </c>
      <c r="J3" s="440" t="s">
        <v>1168</v>
      </c>
      <c r="K3" s="440" t="s">
        <v>223</v>
      </c>
      <c r="L3" s="441" t="s">
        <v>784</v>
      </c>
    </row>
    <row r="4" spans="1:12" ht="12.75">
      <c r="A4" s="678" t="s">
        <v>224</v>
      </c>
      <c r="B4" s="34">
        <v>5000</v>
      </c>
      <c r="C4" s="679">
        <v>0.21</v>
      </c>
      <c r="D4" s="34">
        <f>B4*C4</f>
        <v>1050</v>
      </c>
      <c r="E4" s="34">
        <f>B4+D4</f>
        <v>6050</v>
      </c>
      <c r="G4" s="678" t="s">
        <v>225</v>
      </c>
      <c r="H4" s="32">
        <v>25800</v>
      </c>
      <c r="I4" s="680">
        <v>0.105</v>
      </c>
      <c r="J4" s="32">
        <f aca="true" t="shared" si="0" ref="J4:J9">H4*I4</f>
        <v>2709</v>
      </c>
      <c r="K4" s="32">
        <v>0</v>
      </c>
      <c r="L4" s="32">
        <f aca="true" t="shared" si="1" ref="L4:L9">H4+J4-K4</f>
        <v>28509</v>
      </c>
    </row>
    <row r="5" spans="1:12" ht="12.75">
      <c r="A5" s="681" t="s">
        <v>226</v>
      </c>
      <c r="B5" s="34">
        <v>12000</v>
      </c>
      <c r="C5" s="679">
        <v>0.21</v>
      </c>
      <c r="D5" s="34">
        <f aca="true" t="shared" si="2" ref="D5:D17">B5*C5</f>
        <v>2520</v>
      </c>
      <c r="E5" s="34">
        <f aca="true" t="shared" si="3" ref="E5:E17">B5+D5</f>
        <v>14520</v>
      </c>
      <c r="G5" s="681" t="s">
        <v>227</v>
      </c>
      <c r="H5" s="34">
        <v>65000</v>
      </c>
      <c r="I5" s="682">
        <v>0.105</v>
      </c>
      <c r="J5" s="34">
        <f t="shared" si="0"/>
        <v>6825</v>
      </c>
      <c r="K5" s="34">
        <f>H5*8%</f>
        <v>5200</v>
      </c>
      <c r="L5" s="34">
        <f t="shared" si="1"/>
        <v>66625</v>
      </c>
    </row>
    <row r="6" spans="1:12" ht="12.75">
      <c r="A6" s="681" t="s">
        <v>228</v>
      </c>
      <c r="B6" s="34">
        <v>4000</v>
      </c>
      <c r="C6" s="679">
        <v>0.21</v>
      </c>
      <c r="D6" s="34">
        <f t="shared" si="2"/>
        <v>840</v>
      </c>
      <c r="E6" s="34">
        <f t="shared" si="3"/>
        <v>4840</v>
      </c>
      <c r="G6" s="681" t="s">
        <v>229</v>
      </c>
      <c r="H6" s="34">
        <v>26500</v>
      </c>
      <c r="I6" s="682">
        <v>0.105</v>
      </c>
      <c r="J6" s="34">
        <f t="shared" si="0"/>
        <v>2782.5</v>
      </c>
      <c r="K6" s="34">
        <f>H6*8%</f>
        <v>2120</v>
      </c>
      <c r="L6" s="34">
        <f t="shared" si="1"/>
        <v>27162.5</v>
      </c>
    </row>
    <row r="7" spans="1:12" ht="12.75">
      <c r="A7" s="681" t="s">
        <v>230</v>
      </c>
      <c r="B7" s="34">
        <v>1500</v>
      </c>
      <c r="C7" s="679">
        <v>0.21</v>
      </c>
      <c r="D7" s="34">
        <f t="shared" si="2"/>
        <v>315</v>
      </c>
      <c r="E7" s="34">
        <f t="shared" si="3"/>
        <v>1815</v>
      </c>
      <c r="G7" s="681" t="s">
        <v>231</v>
      </c>
      <c r="H7" s="34">
        <v>1800</v>
      </c>
      <c r="I7" s="682">
        <v>0.105</v>
      </c>
      <c r="J7" s="34">
        <f t="shared" si="0"/>
        <v>189</v>
      </c>
      <c r="K7" s="34">
        <v>0</v>
      </c>
      <c r="L7" s="34">
        <f t="shared" si="1"/>
        <v>1989</v>
      </c>
    </row>
    <row r="8" spans="1:12" ht="12.75">
      <c r="A8" s="681" t="s">
        <v>232</v>
      </c>
      <c r="B8" s="34">
        <v>2800</v>
      </c>
      <c r="C8" s="679">
        <v>0.21</v>
      </c>
      <c r="D8" s="34">
        <f t="shared" si="2"/>
        <v>588</v>
      </c>
      <c r="E8" s="34">
        <f t="shared" si="3"/>
        <v>3388</v>
      </c>
      <c r="G8" s="681" t="s">
        <v>233</v>
      </c>
      <c r="H8" s="34">
        <v>15000</v>
      </c>
      <c r="I8" s="679">
        <v>0.21</v>
      </c>
      <c r="J8" s="34">
        <f t="shared" si="0"/>
        <v>3150</v>
      </c>
      <c r="K8" s="34">
        <f>H8*12%</f>
        <v>1800</v>
      </c>
      <c r="L8" s="34">
        <f t="shared" si="1"/>
        <v>16350</v>
      </c>
    </row>
    <row r="9" spans="1:12" ht="13.5" thickBot="1">
      <c r="A9" s="681" t="s">
        <v>234</v>
      </c>
      <c r="B9" s="34">
        <v>560</v>
      </c>
      <c r="C9" s="679">
        <v>0.21</v>
      </c>
      <c r="D9" s="34">
        <f t="shared" si="2"/>
        <v>117.6</v>
      </c>
      <c r="E9" s="34">
        <f t="shared" si="3"/>
        <v>677.6</v>
      </c>
      <c r="G9" s="599" t="s">
        <v>235</v>
      </c>
      <c r="H9" s="35">
        <v>2500</v>
      </c>
      <c r="I9" s="683">
        <v>0.21</v>
      </c>
      <c r="J9" s="35">
        <f t="shared" si="0"/>
        <v>525</v>
      </c>
      <c r="K9" s="35">
        <v>0</v>
      </c>
      <c r="L9" s="35">
        <f t="shared" si="1"/>
        <v>3025</v>
      </c>
    </row>
    <row r="10" spans="1:12" ht="13.5" thickBot="1">
      <c r="A10" s="681" t="s">
        <v>236</v>
      </c>
      <c r="B10" s="34">
        <v>1500</v>
      </c>
      <c r="C10" s="679">
        <v>0.21</v>
      </c>
      <c r="D10" s="34">
        <f t="shared" si="2"/>
        <v>315</v>
      </c>
      <c r="E10" s="34">
        <f t="shared" si="3"/>
        <v>1815</v>
      </c>
      <c r="G10" s="684" t="s">
        <v>64</v>
      </c>
      <c r="H10" s="348">
        <f>SUM(H4:H9)</f>
        <v>136600</v>
      </c>
      <c r="I10" s="347"/>
      <c r="J10" s="348">
        <f>SUM(J4:J9)</f>
        <v>16180.5</v>
      </c>
      <c r="K10" s="348">
        <f>SUM(K4:K9)</f>
        <v>9120</v>
      </c>
      <c r="L10" s="685">
        <f>SUM(L4:L9)</f>
        <v>143660.5</v>
      </c>
    </row>
    <row r="11" spans="1:5" ht="12.75">
      <c r="A11" s="681" t="s">
        <v>237</v>
      </c>
      <c r="B11" s="34">
        <v>2000</v>
      </c>
      <c r="C11" s="679">
        <v>0.21</v>
      </c>
      <c r="D11" s="34">
        <f t="shared" si="2"/>
        <v>420</v>
      </c>
      <c r="E11" s="34">
        <f t="shared" si="3"/>
        <v>2420</v>
      </c>
    </row>
    <row r="12" spans="1:9" ht="12.75">
      <c r="A12" s="681" t="s">
        <v>238</v>
      </c>
      <c r="B12" s="34">
        <v>1800</v>
      </c>
      <c r="C12" s="679">
        <v>0.21</v>
      </c>
      <c r="D12" s="34">
        <f t="shared" si="2"/>
        <v>378</v>
      </c>
      <c r="E12" s="34">
        <f t="shared" si="3"/>
        <v>2178</v>
      </c>
      <c r="G12" t="s">
        <v>239</v>
      </c>
      <c r="I12" s="351">
        <f>K5+K6</f>
        <v>7320</v>
      </c>
    </row>
    <row r="13" spans="1:9" ht="12.75">
      <c r="A13" s="681" t="s">
        <v>225</v>
      </c>
      <c r="B13" s="34">
        <v>5000</v>
      </c>
      <c r="C13" s="682">
        <v>0.105</v>
      </c>
      <c r="D13" s="34">
        <f t="shared" si="2"/>
        <v>525</v>
      </c>
      <c r="E13" s="34">
        <f t="shared" si="3"/>
        <v>5525</v>
      </c>
      <c r="G13" t="s">
        <v>240</v>
      </c>
      <c r="I13" s="351">
        <f>K10</f>
        <v>9120</v>
      </c>
    </row>
    <row r="14" spans="1:5" ht="12.75">
      <c r="A14" s="681" t="s">
        <v>241</v>
      </c>
      <c r="B14" s="34">
        <v>30000</v>
      </c>
      <c r="C14" s="682">
        <v>0.105</v>
      </c>
      <c r="D14" s="34">
        <f t="shared" si="2"/>
        <v>3150</v>
      </c>
      <c r="E14" s="34">
        <f t="shared" si="3"/>
        <v>33150</v>
      </c>
    </row>
    <row r="15" spans="1:5" ht="12.75">
      <c r="A15" s="681" t="s">
        <v>242</v>
      </c>
      <c r="B15" s="34">
        <v>3500</v>
      </c>
      <c r="C15" s="682">
        <v>0.105</v>
      </c>
      <c r="D15" s="34">
        <f t="shared" si="2"/>
        <v>367.5</v>
      </c>
      <c r="E15" s="34">
        <f t="shared" si="3"/>
        <v>3867.5</v>
      </c>
    </row>
    <row r="16" spans="1:5" ht="12.75">
      <c r="A16" s="681" t="s">
        <v>243</v>
      </c>
      <c r="B16" s="34">
        <v>4000</v>
      </c>
      <c r="C16" s="682">
        <v>0.105</v>
      </c>
      <c r="D16" s="34">
        <f t="shared" si="2"/>
        <v>420</v>
      </c>
      <c r="E16" s="34">
        <f t="shared" si="3"/>
        <v>4420</v>
      </c>
    </row>
    <row r="17" spans="1:5" ht="13.5" thickBot="1">
      <c r="A17" s="599" t="s">
        <v>244</v>
      </c>
      <c r="B17" s="35">
        <v>600</v>
      </c>
      <c r="C17" s="683">
        <v>0.27</v>
      </c>
      <c r="D17" s="35">
        <f t="shared" si="2"/>
        <v>162</v>
      </c>
      <c r="E17" s="35">
        <f t="shared" si="3"/>
        <v>762</v>
      </c>
    </row>
    <row r="18" spans="1:5" ht="13.5" thickBot="1">
      <c r="A18" s="686" t="s">
        <v>64</v>
      </c>
      <c r="B18" s="501">
        <f>SUM(B4:B17)</f>
        <v>74260</v>
      </c>
      <c r="C18" s="178"/>
      <c r="D18" s="501">
        <f>SUM(D4:D17)</f>
        <v>11168.1</v>
      </c>
      <c r="E18" s="370">
        <f>SUM(E4:E17)</f>
        <v>85428.1</v>
      </c>
    </row>
    <row r="20" spans="1:2" ht="12.75">
      <c r="A20" t="s">
        <v>245</v>
      </c>
      <c r="B20" s="351">
        <f>2704.53*0.15</f>
        <v>405.6795</v>
      </c>
    </row>
    <row r="22" ht="13.5" thickBot="1">
      <c r="A22" t="s">
        <v>219</v>
      </c>
    </row>
    <row r="23" spans="1:2" ht="12.75">
      <c r="A23" s="1206" t="s">
        <v>246</v>
      </c>
      <c r="B23" s="1207"/>
    </row>
    <row r="24" spans="1:2" ht="12.75">
      <c r="A24" s="33" t="s">
        <v>247</v>
      </c>
      <c r="B24" s="34">
        <f>1*J10</f>
        <v>16180.5</v>
      </c>
    </row>
    <row r="25" spans="1:2" ht="12.75">
      <c r="A25" s="33" t="s">
        <v>248</v>
      </c>
      <c r="B25" s="34">
        <f>D18</f>
        <v>11168.1</v>
      </c>
    </row>
    <row r="26" spans="1:2" ht="12.75">
      <c r="A26" s="33" t="s">
        <v>249</v>
      </c>
      <c r="B26" s="664">
        <f>B25-B24</f>
        <v>-5012.4</v>
      </c>
    </row>
    <row r="29" spans="1:2" ht="12.75">
      <c r="A29" s="687" t="s">
        <v>250</v>
      </c>
      <c r="B29" s="33"/>
    </row>
    <row r="30" spans="1:2" ht="12.75">
      <c r="A30" s="33" t="s">
        <v>251</v>
      </c>
      <c r="B30" s="34">
        <f>B20</f>
        <v>405.6795</v>
      </c>
    </row>
    <row r="31" spans="1:2" ht="12.75">
      <c r="A31" s="33" t="s">
        <v>252</v>
      </c>
      <c r="B31" s="34">
        <f>(B26+B30)*-1</f>
        <v>4606.720499999999</v>
      </c>
    </row>
    <row r="33" spans="1:2" ht="12.75">
      <c r="A33" t="s">
        <v>253</v>
      </c>
      <c r="B33" s="351">
        <f>I13-B31</f>
        <v>4513.279500000001</v>
      </c>
    </row>
    <row r="35" spans="1:7" ht="13.5" thickBot="1">
      <c r="A35" t="s">
        <v>219</v>
      </c>
      <c r="G35" t="s">
        <v>219</v>
      </c>
    </row>
    <row r="36" spans="1:12" ht="26.25" thickBot="1">
      <c r="A36" s="439" t="s">
        <v>163</v>
      </c>
      <c r="B36" s="675" t="s">
        <v>220</v>
      </c>
      <c r="C36" s="676" t="s">
        <v>221</v>
      </c>
      <c r="D36" s="675" t="s">
        <v>1168</v>
      </c>
      <c r="E36" s="677" t="s">
        <v>784</v>
      </c>
      <c r="G36" s="439" t="s">
        <v>163</v>
      </c>
      <c r="H36" s="440" t="s">
        <v>222</v>
      </c>
      <c r="I36" s="440" t="s">
        <v>221</v>
      </c>
      <c r="J36" s="440" t="s">
        <v>1168</v>
      </c>
      <c r="K36" s="440" t="s">
        <v>223</v>
      </c>
      <c r="L36" s="441" t="s">
        <v>784</v>
      </c>
    </row>
    <row r="37" spans="1:12" ht="12.75">
      <c r="A37" s="678" t="s">
        <v>224</v>
      </c>
      <c r="B37" s="34">
        <v>3200</v>
      </c>
      <c r="C37" s="679">
        <v>0.21</v>
      </c>
      <c r="D37" s="34">
        <f>B37*C37</f>
        <v>672</v>
      </c>
      <c r="E37" s="34">
        <f>B37+D37</f>
        <v>3872</v>
      </c>
      <c r="G37" s="678" t="s">
        <v>225</v>
      </c>
      <c r="H37" s="32">
        <v>3800</v>
      </c>
      <c r="I37" s="680">
        <v>0.105</v>
      </c>
      <c r="J37" s="32">
        <f aca="true" t="shared" si="4" ref="J37:J42">H37*I37</f>
        <v>399</v>
      </c>
      <c r="K37" s="32">
        <v>0</v>
      </c>
      <c r="L37" s="32">
        <f aca="true" t="shared" si="5" ref="L37:L42">H37+J37-K37</f>
        <v>4199</v>
      </c>
    </row>
    <row r="38" spans="1:12" ht="12.75">
      <c r="A38" s="681" t="s">
        <v>226</v>
      </c>
      <c r="B38" s="34">
        <v>9600</v>
      </c>
      <c r="C38" s="679">
        <v>0.21</v>
      </c>
      <c r="D38" s="34">
        <f aca="true" t="shared" si="6" ref="D38:D50">B38*C38</f>
        <v>2016</v>
      </c>
      <c r="E38" s="34">
        <f aca="true" t="shared" si="7" ref="E38:E50">B38+D38</f>
        <v>11616</v>
      </c>
      <c r="G38" s="681" t="s">
        <v>227</v>
      </c>
      <c r="H38" s="34">
        <v>19850</v>
      </c>
      <c r="I38" s="682">
        <v>0.105</v>
      </c>
      <c r="J38" s="34">
        <f t="shared" si="4"/>
        <v>2084.25</v>
      </c>
      <c r="K38" s="34">
        <f>H38*8%</f>
        <v>1588</v>
      </c>
      <c r="L38" s="34">
        <f t="shared" si="5"/>
        <v>20346.25</v>
      </c>
    </row>
    <row r="39" spans="1:12" ht="12.75">
      <c r="A39" s="681" t="s">
        <v>254</v>
      </c>
      <c r="B39" s="34">
        <f>3200*1.479</f>
        <v>4732.8</v>
      </c>
      <c r="C39" s="679">
        <v>0.21</v>
      </c>
      <c r="D39" s="34">
        <f t="shared" si="6"/>
        <v>993.888</v>
      </c>
      <c r="E39" s="34">
        <f t="shared" si="7"/>
        <v>5726.688</v>
      </c>
      <c r="G39" s="681" t="s">
        <v>229</v>
      </c>
      <c r="H39" s="34">
        <v>12450</v>
      </c>
      <c r="I39" s="682">
        <v>0.105</v>
      </c>
      <c r="J39" s="34">
        <f t="shared" si="4"/>
        <v>1307.25</v>
      </c>
      <c r="K39" s="34">
        <f>H39*8%</f>
        <v>996</v>
      </c>
      <c r="L39" s="34">
        <f t="shared" si="5"/>
        <v>12761.25</v>
      </c>
    </row>
    <row r="40" spans="1:12" ht="12.75">
      <c r="A40" s="681" t="s">
        <v>230</v>
      </c>
      <c r="B40" s="34">
        <v>0</v>
      </c>
      <c r="C40" s="679">
        <v>0.21</v>
      </c>
      <c r="D40" s="34">
        <f t="shared" si="6"/>
        <v>0</v>
      </c>
      <c r="E40" s="34">
        <f t="shared" si="7"/>
        <v>0</v>
      </c>
      <c r="G40" s="681" t="s">
        <v>231</v>
      </c>
      <c r="H40" s="34"/>
      <c r="I40" s="682">
        <v>0.105</v>
      </c>
      <c r="J40" s="34">
        <f t="shared" si="4"/>
        <v>0</v>
      </c>
      <c r="K40" s="34">
        <v>0</v>
      </c>
      <c r="L40" s="34">
        <f t="shared" si="5"/>
        <v>0</v>
      </c>
    </row>
    <row r="41" spans="1:12" ht="12.75">
      <c r="A41" s="681" t="s">
        <v>232</v>
      </c>
      <c r="B41" s="34">
        <v>1600</v>
      </c>
      <c r="C41" s="679">
        <v>0.21</v>
      </c>
      <c r="D41" s="34">
        <f t="shared" si="6"/>
        <v>336</v>
      </c>
      <c r="E41" s="34">
        <f t="shared" si="7"/>
        <v>1936</v>
      </c>
      <c r="G41" s="681" t="s">
        <v>233</v>
      </c>
      <c r="H41" s="34">
        <v>3500</v>
      </c>
      <c r="I41" s="679">
        <v>0.21</v>
      </c>
      <c r="J41" s="34">
        <f t="shared" si="4"/>
        <v>735</v>
      </c>
      <c r="K41" s="34">
        <f>H41*12%</f>
        <v>420</v>
      </c>
      <c r="L41" s="34">
        <f t="shared" si="5"/>
        <v>3815</v>
      </c>
    </row>
    <row r="42" spans="1:12" ht="13.5" thickBot="1">
      <c r="A42" s="681" t="s">
        <v>234</v>
      </c>
      <c r="B42" s="34">
        <v>350</v>
      </c>
      <c r="C42" s="679">
        <v>0.21</v>
      </c>
      <c r="D42" s="34">
        <f t="shared" si="6"/>
        <v>73.5</v>
      </c>
      <c r="E42" s="34">
        <f t="shared" si="7"/>
        <v>423.5</v>
      </c>
      <c r="G42" s="599" t="s">
        <v>235</v>
      </c>
      <c r="H42" s="35">
        <v>1200</v>
      </c>
      <c r="I42" s="683">
        <v>0.21</v>
      </c>
      <c r="J42" s="35">
        <f t="shared" si="4"/>
        <v>252</v>
      </c>
      <c r="K42" s="35">
        <v>0</v>
      </c>
      <c r="L42" s="35">
        <f t="shared" si="5"/>
        <v>1452</v>
      </c>
    </row>
    <row r="43" spans="1:12" ht="13.5" thickBot="1">
      <c r="A43" s="681" t="s">
        <v>236</v>
      </c>
      <c r="B43" s="34">
        <v>800</v>
      </c>
      <c r="C43" s="679">
        <v>0.21</v>
      </c>
      <c r="D43" s="34">
        <f t="shared" si="6"/>
        <v>168</v>
      </c>
      <c r="E43" s="34">
        <f t="shared" si="7"/>
        <v>968</v>
      </c>
      <c r="G43" s="684" t="s">
        <v>64</v>
      </c>
      <c r="H43" s="348">
        <f>SUM(H37:H42)</f>
        <v>40800</v>
      </c>
      <c r="I43" s="347"/>
      <c r="J43" s="348">
        <f>SUM(J37:J42)</f>
        <v>4777.5</v>
      </c>
      <c r="K43" s="348">
        <f>SUM(K37:K42)</f>
        <v>3004</v>
      </c>
      <c r="L43" s="685">
        <f>SUM(L37:L42)</f>
        <v>42573.5</v>
      </c>
    </row>
    <row r="44" spans="1:5" ht="12.75">
      <c r="A44" s="681" t="s">
        <v>237</v>
      </c>
      <c r="B44" s="34">
        <v>1200</v>
      </c>
      <c r="C44" s="679">
        <v>0.21</v>
      </c>
      <c r="D44" s="34">
        <f t="shared" si="6"/>
        <v>252</v>
      </c>
      <c r="E44" s="34">
        <f t="shared" si="7"/>
        <v>1452</v>
      </c>
    </row>
    <row r="45" spans="1:9" ht="12.75">
      <c r="A45" s="681" t="s">
        <v>238</v>
      </c>
      <c r="B45" s="34">
        <v>650</v>
      </c>
      <c r="C45" s="679">
        <v>0.21</v>
      </c>
      <c r="D45" s="34">
        <f t="shared" si="6"/>
        <v>136.5</v>
      </c>
      <c r="E45" s="34">
        <f t="shared" si="7"/>
        <v>786.5</v>
      </c>
      <c r="G45" t="s">
        <v>239</v>
      </c>
      <c r="I45" s="351">
        <f>K38+K39</f>
        <v>2584</v>
      </c>
    </row>
    <row r="46" spans="1:9" ht="12.75">
      <c r="A46" s="681" t="s">
        <v>225</v>
      </c>
      <c r="B46" s="34">
        <v>0</v>
      </c>
      <c r="C46" s="682">
        <v>0.105</v>
      </c>
      <c r="D46" s="34">
        <f t="shared" si="6"/>
        <v>0</v>
      </c>
      <c r="E46" s="34">
        <f t="shared" si="7"/>
        <v>0</v>
      </c>
      <c r="G46" t="s">
        <v>240</v>
      </c>
      <c r="I46" s="351">
        <f>K43</f>
        <v>3004</v>
      </c>
    </row>
    <row r="47" spans="1:5" ht="12.75">
      <c r="A47" s="681" t="s">
        <v>241</v>
      </c>
      <c r="B47" s="34">
        <v>0</v>
      </c>
      <c r="C47" s="682">
        <v>0.105</v>
      </c>
      <c r="D47" s="34">
        <f t="shared" si="6"/>
        <v>0</v>
      </c>
      <c r="E47" s="34">
        <f t="shared" si="7"/>
        <v>0</v>
      </c>
    </row>
    <row r="48" spans="1:5" ht="12.75">
      <c r="A48" s="681" t="s">
        <v>242</v>
      </c>
      <c r="B48" s="34">
        <v>4500</v>
      </c>
      <c r="C48" s="682">
        <v>0.105</v>
      </c>
      <c r="D48" s="34">
        <f t="shared" si="6"/>
        <v>472.5</v>
      </c>
      <c r="E48" s="34">
        <f t="shared" si="7"/>
        <v>4972.5</v>
      </c>
    </row>
    <row r="49" spans="1:5" ht="12.75">
      <c r="A49" s="681" t="s">
        <v>243</v>
      </c>
      <c r="B49" s="34">
        <v>2300</v>
      </c>
      <c r="C49" s="682">
        <v>0.105</v>
      </c>
      <c r="D49" s="34">
        <f t="shared" si="6"/>
        <v>241.5</v>
      </c>
      <c r="E49" s="34">
        <f t="shared" si="7"/>
        <v>2541.5</v>
      </c>
    </row>
    <row r="50" spans="1:5" ht="13.5" thickBot="1">
      <c r="A50" s="599" t="s">
        <v>244</v>
      </c>
      <c r="B50" s="35">
        <v>750</v>
      </c>
      <c r="C50" s="683">
        <v>0.27</v>
      </c>
      <c r="D50" s="35">
        <f t="shared" si="6"/>
        <v>202.5</v>
      </c>
      <c r="E50" s="35">
        <f t="shared" si="7"/>
        <v>952.5</v>
      </c>
    </row>
    <row r="51" spans="1:5" ht="13.5" thickBot="1">
      <c r="A51" s="686" t="s">
        <v>64</v>
      </c>
      <c r="B51" s="501">
        <f>SUM(B37:B50)</f>
        <v>29682.8</v>
      </c>
      <c r="C51" s="178"/>
      <c r="D51" s="501">
        <f>SUM(D37:D50)</f>
        <v>5564.388</v>
      </c>
      <c r="E51" s="370">
        <f>SUM(E37:E50)</f>
        <v>35247.188</v>
      </c>
    </row>
    <row r="53" spans="1:2" ht="12.75">
      <c r="A53" t="s">
        <v>245</v>
      </c>
      <c r="B53" s="351">
        <f>3200*0.15</f>
        <v>480</v>
      </c>
    </row>
    <row r="55" ht="13.5" thickBot="1">
      <c r="A55" t="s">
        <v>219</v>
      </c>
    </row>
    <row r="56" spans="1:2" ht="12.75">
      <c r="A56" s="1206" t="s">
        <v>255</v>
      </c>
      <c r="B56" s="1207"/>
    </row>
    <row r="57" spans="1:2" ht="12.75">
      <c r="A57" s="33" t="s">
        <v>247</v>
      </c>
      <c r="B57" s="34">
        <f>1*J43</f>
        <v>4777.5</v>
      </c>
    </row>
    <row r="58" spans="1:2" ht="12.75">
      <c r="A58" s="33" t="s">
        <v>248</v>
      </c>
      <c r="B58" s="34">
        <f>D51</f>
        <v>5564.388</v>
      </c>
    </row>
    <row r="59" spans="1:2" ht="12.75">
      <c r="A59" s="33" t="s">
        <v>249</v>
      </c>
      <c r="B59" s="664">
        <f>B58-B57</f>
        <v>786.8879999999999</v>
      </c>
    </row>
    <row r="64" ht="12.75">
      <c r="A64" t="s">
        <v>219</v>
      </c>
    </row>
    <row r="65" ht="12.75">
      <c r="A65" t="s">
        <v>256</v>
      </c>
    </row>
    <row r="66" spans="1:2" ht="12.75">
      <c r="A66" t="s">
        <v>257</v>
      </c>
      <c r="B66" s="351">
        <f>B24+B57</f>
        <v>20958</v>
      </c>
    </row>
    <row r="67" spans="1:2" ht="12.75">
      <c r="A67" t="s">
        <v>258</v>
      </c>
      <c r="B67" s="351">
        <f>B25+B58</f>
        <v>16732.488</v>
      </c>
    </row>
    <row r="68" spans="1:2" ht="12.75">
      <c r="A68" s="33" t="s">
        <v>249</v>
      </c>
      <c r="B68" s="351">
        <f>B67-B66</f>
        <v>-4225.511999999999</v>
      </c>
    </row>
    <row r="71" spans="1:2" ht="12.75">
      <c r="A71" s="687" t="s">
        <v>250</v>
      </c>
      <c r="B71" s="33"/>
    </row>
    <row r="72" spans="1:2" ht="12.75">
      <c r="A72" s="33" t="s">
        <v>251</v>
      </c>
      <c r="B72" s="34">
        <f>B20+B53</f>
        <v>885.6795</v>
      </c>
    </row>
    <row r="73" spans="1:2" ht="12.75">
      <c r="A73" s="33" t="s">
        <v>252</v>
      </c>
      <c r="B73" s="34">
        <f>(B68+B72)*-1</f>
        <v>3339.8324999999986</v>
      </c>
    </row>
    <row r="75" spans="1:2" ht="12.75">
      <c r="A75" t="s">
        <v>259</v>
      </c>
      <c r="B75" s="351">
        <f>I13+I46-B73</f>
        <v>8784.167500000001</v>
      </c>
    </row>
    <row r="79" spans="1:7" ht="12.75">
      <c r="A79" t="s">
        <v>260</v>
      </c>
      <c r="G79" t="s">
        <v>260</v>
      </c>
    </row>
    <row r="80" ht="13.5" thickBot="1"/>
    <row r="81" spans="1:12" ht="26.25" thickBot="1">
      <c r="A81" s="439" t="s">
        <v>162</v>
      </c>
      <c r="B81" s="675" t="s">
        <v>220</v>
      </c>
      <c r="C81" s="676" t="s">
        <v>221</v>
      </c>
      <c r="D81" s="675" t="s">
        <v>1168</v>
      </c>
      <c r="E81" s="677" t="s">
        <v>784</v>
      </c>
      <c r="G81" s="439" t="s">
        <v>162</v>
      </c>
      <c r="H81" s="440" t="s">
        <v>222</v>
      </c>
      <c r="I81" s="440" t="s">
        <v>221</v>
      </c>
      <c r="J81" s="440" t="s">
        <v>1168</v>
      </c>
      <c r="K81" s="440" t="s">
        <v>223</v>
      </c>
      <c r="L81" s="441" t="s">
        <v>784</v>
      </c>
    </row>
    <row r="82" spans="1:12" ht="12.75">
      <c r="A82" s="678" t="s">
        <v>224</v>
      </c>
      <c r="B82" s="34">
        <v>5000</v>
      </c>
      <c r="C82" s="679">
        <v>0.21</v>
      </c>
      <c r="D82" s="34">
        <f>B82*C82</f>
        <v>1050</v>
      </c>
      <c r="E82" s="34">
        <f>B82+D82</f>
        <v>6050</v>
      </c>
      <c r="G82" s="678" t="s">
        <v>225</v>
      </c>
      <c r="H82" s="32">
        <v>25800</v>
      </c>
      <c r="I82" s="680">
        <v>0.105</v>
      </c>
      <c r="J82" s="32">
        <f aca="true" t="shared" si="8" ref="J82:J87">H82*I82</f>
        <v>2709</v>
      </c>
      <c r="K82" s="32">
        <v>0</v>
      </c>
      <c r="L82" s="32">
        <f aca="true" t="shared" si="9" ref="L82:L87">H82+J82-K82</f>
        <v>28509</v>
      </c>
    </row>
    <row r="83" spans="1:12" ht="12.75">
      <c r="A83" s="681" t="s">
        <v>226</v>
      </c>
      <c r="B83" s="34">
        <v>12000</v>
      </c>
      <c r="C83" s="679">
        <v>0.21</v>
      </c>
      <c r="D83" s="34">
        <f aca="true" t="shared" si="10" ref="D83:D95">B83*C83</f>
        <v>2520</v>
      </c>
      <c r="E83" s="34">
        <f aca="true" t="shared" si="11" ref="E83:E95">B83+D83</f>
        <v>14520</v>
      </c>
      <c r="G83" s="681" t="s">
        <v>227</v>
      </c>
      <c r="H83" s="34">
        <v>65000</v>
      </c>
      <c r="I83" s="682">
        <v>0.105</v>
      </c>
      <c r="J83" s="34">
        <f t="shared" si="8"/>
        <v>6825</v>
      </c>
      <c r="K83" s="34">
        <f>H83*8%</f>
        <v>5200</v>
      </c>
      <c r="L83" s="34">
        <f t="shared" si="9"/>
        <v>66625</v>
      </c>
    </row>
    <row r="84" spans="1:12" ht="12.75">
      <c r="A84" s="681" t="s">
        <v>228</v>
      </c>
      <c r="B84" s="34">
        <v>4000</v>
      </c>
      <c r="C84" s="679">
        <v>0.21</v>
      </c>
      <c r="D84" s="34">
        <f t="shared" si="10"/>
        <v>840</v>
      </c>
      <c r="E84" s="34">
        <f t="shared" si="11"/>
        <v>4840</v>
      </c>
      <c r="G84" s="681" t="s">
        <v>229</v>
      </c>
      <c r="H84" s="34">
        <v>26500</v>
      </c>
      <c r="I84" s="682">
        <v>0.105</v>
      </c>
      <c r="J84" s="34">
        <f t="shared" si="8"/>
        <v>2782.5</v>
      </c>
      <c r="K84" s="34">
        <f>H84*8%</f>
        <v>2120</v>
      </c>
      <c r="L84" s="34">
        <f t="shared" si="9"/>
        <v>27162.5</v>
      </c>
    </row>
    <row r="85" spans="1:12" ht="12.75">
      <c r="A85" s="681" t="s">
        <v>230</v>
      </c>
      <c r="B85" s="34">
        <v>1500</v>
      </c>
      <c r="C85" s="679">
        <v>0.21</v>
      </c>
      <c r="D85" s="34">
        <f t="shared" si="10"/>
        <v>315</v>
      </c>
      <c r="E85" s="34">
        <f t="shared" si="11"/>
        <v>1815</v>
      </c>
      <c r="G85" s="681" t="s">
        <v>231</v>
      </c>
      <c r="H85" s="34">
        <v>1800</v>
      </c>
      <c r="I85" s="682">
        <v>0.105</v>
      </c>
      <c r="J85" s="34">
        <f t="shared" si="8"/>
        <v>189</v>
      </c>
      <c r="K85" s="34">
        <v>0</v>
      </c>
      <c r="L85" s="34">
        <f t="shared" si="9"/>
        <v>1989</v>
      </c>
    </row>
    <row r="86" spans="1:12" ht="12.75">
      <c r="A86" s="681" t="s">
        <v>232</v>
      </c>
      <c r="B86" s="34">
        <v>2800</v>
      </c>
      <c r="C86" s="679">
        <v>0.21</v>
      </c>
      <c r="D86" s="34">
        <f t="shared" si="10"/>
        <v>588</v>
      </c>
      <c r="E86" s="34">
        <f t="shared" si="11"/>
        <v>3388</v>
      </c>
      <c r="G86" s="681" t="s">
        <v>233</v>
      </c>
      <c r="H86" s="34">
        <v>15000</v>
      </c>
      <c r="I86" s="679">
        <v>0.21</v>
      </c>
      <c r="J86" s="34">
        <f t="shared" si="8"/>
        <v>3150</v>
      </c>
      <c r="K86" s="34">
        <f>H86*12%</f>
        <v>1800</v>
      </c>
      <c r="L86" s="34">
        <f t="shared" si="9"/>
        <v>16350</v>
      </c>
    </row>
    <row r="87" spans="1:12" ht="13.5" thickBot="1">
      <c r="A87" s="681" t="s">
        <v>234</v>
      </c>
      <c r="B87" s="34">
        <v>560</v>
      </c>
      <c r="C87" s="679">
        <v>0.21</v>
      </c>
      <c r="D87" s="34">
        <f t="shared" si="10"/>
        <v>117.6</v>
      </c>
      <c r="E87" s="34">
        <f t="shared" si="11"/>
        <v>677.6</v>
      </c>
      <c r="G87" s="599" t="s">
        <v>235</v>
      </c>
      <c r="H87" s="35">
        <v>2500</v>
      </c>
      <c r="I87" s="683">
        <v>0.21</v>
      </c>
      <c r="J87" s="35">
        <f t="shared" si="8"/>
        <v>525</v>
      </c>
      <c r="K87" s="35">
        <v>0</v>
      </c>
      <c r="L87" s="35">
        <f t="shared" si="9"/>
        <v>3025</v>
      </c>
    </row>
    <row r="88" spans="1:12" ht="13.5" thickBot="1">
      <c r="A88" s="681" t="s">
        <v>236</v>
      </c>
      <c r="B88" s="34">
        <v>1500</v>
      </c>
      <c r="C88" s="679">
        <v>0.21</v>
      </c>
      <c r="D88" s="34">
        <f t="shared" si="10"/>
        <v>315</v>
      </c>
      <c r="E88" s="34">
        <f t="shared" si="11"/>
        <v>1815</v>
      </c>
      <c r="G88" s="684" t="s">
        <v>64</v>
      </c>
      <c r="H88" s="348">
        <f>SUM(H82:H87)</f>
        <v>136600</v>
      </c>
      <c r="I88" s="347"/>
      <c r="J88" s="348">
        <f>SUM(J82:J87)</f>
        <v>16180.5</v>
      </c>
      <c r="K88" s="348">
        <f>SUM(K82:K87)</f>
        <v>9120</v>
      </c>
      <c r="L88" s="685">
        <f>SUM(L82:L87)</f>
        <v>143660.5</v>
      </c>
    </row>
    <row r="89" spans="1:5" ht="12.75">
      <c r="A89" s="681" t="s">
        <v>237</v>
      </c>
      <c r="B89" s="34">
        <v>2000</v>
      </c>
      <c r="C89" s="679">
        <v>0.21</v>
      </c>
      <c r="D89" s="34">
        <f t="shared" si="10"/>
        <v>420</v>
      </c>
      <c r="E89" s="34">
        <f t="shared" si="11"/>
        <v>2420</v>
      </c>
    </row>
    <row r="90" spans="1:9" ht="12.75">
      <c r="A90" s="681" t="s">
        <v>238</v>
      </c>
      <c r="B90" s="34">
        <v>1800</v>
      </c>
      <c r="C90" s="679">
        <v>0.21</v>
      </c>
      <c r="D90" s="34">
        <f t="shared" si="10"/>
        <v>378</v>
      </c>
      <c r="E90" s="34">
        <f t="shared" si="11"/>
        <v>2178</v>
      </c>
      <c r="G90" t="s">
        <v>239</v>
      </c>
      <c r="I90" s="351">
        <f>K83+K84</f>
        <v>7320</v>
      </c>
    </row>
    <row r="91" spans="1:9" ht="12.75">
      <c r="A91" s="681" t="s">
        <v>225</v>
      </c>
      <c r="B91" s="34">
        <v>5000</v>
      </c>
      <c r="C91" s="682">
        <v>0.105</v>
      </c>
      <c r="D91" s="34">
        <f t="shared" si="10"/>
        <v>525</v>
      </c>
      <c r="E91" s="34">
        <f t="shared" si="11"/>
        <v>5525</v>
      </c>
      <c r="G91" t="s">
        <v>240</v>
      </c>
      <c r="I91" s="351">
        <f>K88</f>
        <v>9120</v>
      </c>
    </row>
    <row r="92" spans="1:5" ht="12.75">
      <c r="A92" s="681" t="s">
        <v>241</v>
      </c>
      <c r="B92" s="34">
        <v>30000</v>
      </c>
      <c r="C92" s="682">
        <v>0.105</v>
      </c>
      <c r="D92" s="34">
        <f t="shared" si="10"/>
        <v>3150</v>
      </c>
      <c r="E92" s="34">
        <f t="shared" si="11"/>
        <v>33150</v>
      </c>
    </row>
    <row r="93" spans="1:5" ht="12.75">
      <c r="A93" s="681" t="s">
        <v>242</v>
      </c>
      <c r="B93" s="34">
        <v>3500</v>
      </c>
      <c r="C93" s="682">
        <v>0.105</v>
      </c>
      <c r="D93" s="34">
        <f t="shared" si="10"/>
        <v>367.5</v>
      </c>
      <c r="E93" s="34">
        <f t="shared" si="11"/>
        <v>3867.5</v>
      </c>
    </row>
    <row r="94" spans="1:5" ht="12.75">
      <c r="A94" s="681" t="s">
        <v>243</v>
      </c>
      <c r="B94" s="34">
        <v>4000</v>
      </c>
      <c r="C94" s="682">
        <v>0.105</v>
      </c>
      <c r="D94" s="34">
        <f t="shared" si="10"/>
        <v>420</v>
      </c>
      <c r="E94" s="34">
        <f t="shared" si="11"/>
        <v>4420</v>
      </c>
    </row>
    <row r="95" spans="1:5" ht="13.5" thickBot="1">
      <c r="A95" s="599" t="s">
        <v>244</v>
      </c>
      <c r="B95" s="35">
        <v>600</v>
      </c>
      <c r="C95" s="683">
        <v>0.27</v>
      </c>
      <c r="D95" s="35">
        <f t="shared" si="10"/>
        <v>162</v>
      </c>
      <c r="E95" s="35">
        <f t="shared" si="11"/>
        <v>762</v>
      </c>
    </row>
    <row r="96" spans="1:5" ht="13.5" thickBot="1">
      <c r="A96" s="686" t="s">
        <v>64</v>
      </c>
      <c r="B96" s="501">
        <f>SUM(B82:B95)</f>
        <v>74260</v>
      </c>
      <c r="C96" s="178"/>
      <c r="D96" s="501">
        <f>SUM(D82:D95)</f>
        <v>11168.1</v>
      </c>
      <c r="E96" s="370">
        <f>SUM(E82:E95)</f>
        <v>85428.1</v>
      </c>
    </row>
    <row r="98" spans="1:2" ht="12.75">
      <c r="A98" t="s">
        <v>245</v>
      </c>
      <c r="B98" s="351">
        <f>2704.53*0.15</f>
        <v>405.6795</v>
      </c>
    </row>
    <row r="100" ht="13.5" thickBot="1">
      <c r="A100" t="s">
        <v>260</v>
      </c>
    </row>
    <row r="101" spans="1:2" ht="12.75">
      <c r="A101" s="1206" t="s">
        <v>246</v>
      </c>
      <c r="B101" s="1207"/>
    </row>
    <row r="102" spans="1:2" ht="12.75">
      <c r="A102" s="33" t="s">
        <v>247</v>
      </c>
      <c r="B102" s="34">
        <f>1*J88</f>
        <v>16180.5</v>
      </c>
    </row>
    <row r="103" spans="1:2" ht="12.75">
      <c r="A103" s="33" t="s">
        <v>248</v>
      </c>
      <c r="B103" s="34">
        <f>D96</f>
        <v>11168.1</v>
      </c>
    </row>
    <row r="104" spans="1:2" ht="12.75">
      <c r="A104" s="33" t="s">
        <v>249</v>
      </c>
      <c r="B104" s="664">
        <f>B103-B102</f>
        <v>-5012.4</v>
      </c>
    </row>
    <row r="107" spans="1:2" ht="12.75">
      <c r="A107" s="687" t="s">
        <v>250</v>
      </c>
      <c r="B107" s="33"/>
    </row>
    <row r="108" spans="1:2" ht="12.75">
      <c r="A108" s="33" t="s">
        <v>251</v>
      </c>
      <c r="B108" s="34">
        <f>B98</f>
        <v>405.6795</v>
      </c>
    </row>
    <row r="109" spans="1:2" ht="12.75">
      <c r="A109" s="33" t="s">
        <v>252</v>
      </c>
      <c r="B109" s="34">
        <f>(B104+B108)*-1</f>
        <v>4606.720499999999</v>
      </c>
    </row>
    <row r="111" ht="12.75">
      <c r="B111" s="351"/>
    </row>
    <row r="113" spans="1:7" ht="13.5" thickBot="1">
      <c r="A113" t="s">
        <v>260</v>
      </c>
      <c r="G113" t="s">
        <v>260</v>
      </c>
    </row>
    <row r="114" spans="1:12" ht="26.25" thickBot="1">
      <c r="A114" s="439" t="s">
        <v>163</v>
      </c>
      <c r="B114" s="675" t="s">
        <v>220</v>
      </c>
      <c r="C114" s="676" t="s">
        <v>221</v>
      </c>
      <c r="D114" s="675" t="s">
        <v>1168</v>
      </c>
      <c r="E114" s="677" t="s">
        <v>784</v>
      </c>
      <c r="G114" s="439" t="s">
        <v>163</v>
      </c>
      <c r="H114" s="440" t="s">
        <v>222</v>
      </c>
      <c r="I114" s="440" t="s">
        <v>221</v>
      </c>
      <c r="J114" s="440" t="s">
        <v>1168</v>
      </c>
      <c r="K114" s="440" t="s">
        <v>223</v>
      </c>
      <c r="L114" s="441" t="s">
        <v>784</v>
      </c>
    </row>
    <row r="115" spans="1:12" ht="12.75">
      <c r="A115" s="678" t="s">
        <v>224</v>
      </c>
      <c r="B115" s="34">
        <v>3200</v>
      </c>
      <c r="C115" s="679">
        <v>0.21</v>
      </c>
      <c r="D115" s="34">
        <f>B115*C115</f>
        <v>672</v>
      </c>
      <c r="E115" s="34">
        <f>B115+D115</f>
        <v>3872</v>
      </c>
      <c r="G115" s="678" t="s">
        <v>225</v>
      </c>
      <c r="H115" s="32">
        <v>3800</v>
      </c>
      <c r="I115" s="680">
        <v>0.105</v>
      </c>
      <c r="J115" s="32">
        <f aca="true" t="shared" si="12" ref="J115:J120">H115*I115</f>
        <v>399</v>
      </c>
      <c r="K115" s="32">
        <v>0</v>
      </c>
      <c r="L115" s="32">
        <f aca="true" t="shared" si="13" ref="L115:L120">H115+J115-K115</f>
        <v>4199</v>
      </c>
    </row>
    <row r="116" spans="1:12" ht="12.75">
      <c r="A116" s="681" t="s">
        <v>226</v>
      </c>
      <c r="B116" s="34">
        <v>9600</v>
      </c>
      <c r="C116" s="679">
        <v>0.21</v>
      </c>
      <c r="D116" s="34">
        <f aca="true" t="shared" si="14" ref="D116:D128">B116*C116</f>
        <v>2016</v>
      </c>
      <c r="E116" s="34">
        <f aca="true" t="shared" si="15" ref="E116:E128">B116+D116</f>
        <v>11616</v>
      </c>
      <c r="G116" s="681" t="s">
        <v>227</v>
      </c>
      <c r="H116" s="34">
        <v>19850</v>
      </c>
      <c r="I116" s="682">
        <v>0.105</v>
      </c>
      <c r="J116" s="34">
        <f t="shared" si="12"/>
        <v>2084.25</v>
      </c>
      <c r="K116" s="34">
        <f>H116*8%</f>
        <v>1588</v>
      </c>
      <c r="L116" s="34">
        <f t="shared" si="13"/>
        <v>20346.25</v>
      </c>
    </row>
    <row r="117" spans="1:12" ht="12.75">
      <c r="A117" s="681" t="s">
        <v>254</v>
      </c>
      <c r="B117" s="34">
        <f>3200*1.479</f>
        <v>4732.8</v>
      </c>
      <c r="C117" s="679">
        <v>0.21</v>
      </c>
      <c r="D117" s="34">
        <f t="shared" si="14"/>
        <v>993.888</v>
      </c>
      <c r="E117" s="34">
        <f t="shared" si="15"/>
        <v>5726.688</v>
      </c>
      <c r="G117" s="681" t="s">
        <v>229</v>
      </c>
      <c r="H117" s="34">
        <v>12450</v>
      </c>
      <c r="I117" s="682">
        <v>0.105</v>
      </c>
      <c r="J117" s="34">
        <f t="shared" si="12"/>
        <v>1307.25</v>
      </c>
      <c r="K117" s="34">
        <f>H117*8%</f>
        <v>996</v>
      </c>
      <c r="L117" s="34">
        <f t="shared" si="13"/>
        <v>12761.25</v>
      </c>
    </row>
    <row r="118" spans="1:12" ht="12.75">
      <c r="A118" s="681" t="s">
        <v>230</v>
      </c>
      <c r="B118" s="34">
        <v>0</v>
      </c>
      <c r="C118" s="679">
        <v>0.21</v>
      </c>
      <c r="D118" s="34">
        <f t="shared" si="14"/>
        <v>0</v>
      </c>
      <c r="E118" s="34">
        <f t="shared" si="15"/>
        <v>0</v>
      </c>
      <c r="G118" s="681" t="s">
        <v>231</v>
      </c>
      <c r="H118" s="34"/>
      <c r="I118" s="682">
        <v>0.105</v>
      </c>
      <c r="J118" s="34">
        <f t="shared" si="12"/>
        <v>0</v>
      </c>
      <c r="K118" s="34">
        <v>0</v>
      </c>
      <c r="L118" s="34">
        <f t="shared" si="13"/>
        <v>0</v>
      </c>
    </row>
    <row r="119" spans="1:12" ht="12.75">
      <c r="A119" s="681" t="s">
        <v>232</v>
      </c>
      <c r="B119" s="34">
        <v>1600</v>
      </c>
      <c r="C119" s="679">
        <v>0.21</v>
      </c>
      <c r="D119" s="34">
        <f t="shared" si="14"/>
        <v>336</v>
      </c>
      <c r="E119" s="34">
        <f t="shared" si="15"/>
        <v>1936</v>
      </c>
      <c r="G119" s="681" t="s">
        <v>233</v>
      </c>
      <c r="H119" s="34">
        <v>3500</v>
      </c>
      <c r="I119" s="679">
        <v>0.21</v>
      </c>
      <c r="J119" s="34">
        <f t="shared" si="12"/>
        <v>735</v>
      </c>
      <c r="K119" s="34">
        <f>H119*12%</f>
        <v>420</v>
      </c>
      <c r="L119" s="34">
        <f t="shared" si="13"/>
        <v>3815</v>
      </c>
    </row>
    <row r="120" spans="1:12" ht="13.5" thickBot="1">
      <c r="A120" s="681" t="s">
        <v>234</v>
      </c>
      <c r="B120" s="34">
        <v>350</v>
      </c>
      <c r="C120" s="679">
        <v>0.21</v>
      </c>
      <c r="D120" s="34">
        <f t="shared" si="14"/>
        <v>73.5</v>
      </c>
      <c r="E120" s="34">
        <f t="shared" si="15"/>
        <v>423.5</v>
      </c>
      <c r="G120" s="599" t="s">
        <v>235</v>
      </c>
      <c r="H120" s="35">
        <v>1200</v>
      </c>
      <c r="I120" s="683">
        <v>0.21</v>
      </c>
      <c r="J120" s="35">
        <f t="shared" si="12"/>
        <v>252</v>
      </c>
      <c r="K120" s="35">
        <v>0</v>
      </c>
      <c r="L120" s="35">
        <f t="shared" si="13"/>
        <v>1452</v>
      </c>
    </row>
    <row r="121" spans="1:12" ht="13.5" thickBot="1">
      <c r="A121" s="681" t="s">
        <v>236</v>
      </c>
      <c r="B121" s="34">
        <v>800</v>
      </c>
      <c r="C121" s="679">
        <v>0.21</v>
      </c>
      <c r="D121" s="34">
        <f t="shared" si="14"/>
        <v>168</v>
      </c>
      <c r="E121" s="34">
        <f t="shared" si="15"/>
        <v>968</v>
      </c>
      <c r="G121" s="684" t="s">
        <v>64</v>
      </c>
      <c r="H121" s="348">
        <f>SUM(H115:H120)</f>
        <v>40800</v>
      </c>
      <c r="I121" s="347"/>
      <c r="J121" s="348">
        <f>SUM(J115:J120)</f>
        <v>4777.5</v>
      </c>
      <c r="K121" s="348">
        <f>SUM(K115:K120)</f>
        <v>3004</v>
      </c>
      <c r="L121" s="685">
        <f>SUM(L115:L120)</f>
        <v>42573.5</v>
      </c>
    </row>
    <row r="122" spans="1:5" ht="12.75">
      <c r="A122" s="681" t="s">
        <v>237</v>
      </c>
      <c r="B122" s="34">
        <v>1200</v>
      </c>
      <c r="C122" s="679">
        <v>0.21</v>
      </c>
      <c r="D122" s="34">
        <f t="shared" si="14"/>
        <v>252</v>
      </c>
      <c r="E122" s="34">
        <f t="shared" si="15"/>
        <v>1452</v>
      </c>
    </row>
    <row r="123" spans="1:9" ht="12.75">
      <c r="A123" s="681" t="s">
        <v>238</v>
      </c>
      <c r="B123" s="34">
        <v>650</v>
      </c>
      <c r="C123" s="679">
        <v>0.21</v>
      </c>
      <c r="D123" s="34">
        <f t="shared" si="14"/>
        <v>136.5</v>
      </c>
      <c r="E123" s="34">
        <f t="shared" si="15"/>
        <v>786.5</v>
      </c>
      <c r="G123" t="s">
        <v>239</v>
      </c>
      <c r="I123" s="351">
        <f>K116+K117</f>
        <v>2584</v>
      </c>
    </row>
    <row r="124" spans="1:9" ht="12.75">
      <c r="A124" s="681" t="s">
        <v>225</v>
      </c>
      <c r="B124" s="34">
        <v>0</v>
      </c>
      <c r="C124" s="682">
        <v>0.105</v>
      </c>
      <c r="D124" s="34">
        <f t="shared" si="14"/>
        <v>0</v>
      </c>
      <c r="E124" s="34">
        <f t="shared" si="15"/>
        <v>0</v>
      </c>
      <c r="G124" t="s">
        <v>240</v>
      </c>
      <c r="I124" s="351">
        <f>K121</f>
        <v>3004</v>
      </c>
    </row>
    <row r="125" spans="1:5" ht="12.75">
      <c r="A125" s="681" t="s">
        <v>241</v>
      </c>
      <c r="B125" s="34">
        <v>0</v>
      </c>
      <c r="C125" s="682">
        <v>0.105</v>
      </c>
      <c r="D125" s="34">
        <f t="shared" si="14"/>
        <v>0</v>
      </c>
      <c r="E125" s="34">
        <f t="shared" si="15"/>
        <v>0</v>
      </c>
    </row>
    <row r="126" spans="1:5" ht="12.75">
      <c r="A126" s="681" t="s">
        <v>242</v>
      </c>
      <c r="B126" s="34">
        <v>4500</v>
      </c>
      <c r="C126" s="682">
        <v>0.105</v>
      </c>
      <c r="D126" s="34">
        <f t="shared" si="14"/>
        <v>472.5</v>
      </c>
      <c r="E126" s="34">
        <f t="shared" si="15"/>
        <v>4972.5</v>
      </c>
    </row>
    <row r="127" spans="1:5" ht="12.75">
      <c r="A127" s="681" t="s">
        <v>243</v>
      </c>
      <c r="B127" s="34">
        <v>2300</v>
      </c>
      <c r="C127" s="682">
        <v>0.105</v>
      </c>
      <c r="D127" s="34">
        <f t="shared" si="14"/>
        <v>241.5</v>
      </c>
      <c r="E127" s="34">
        <f t="shared" si="15"/>
        <v>2541.5</v>
      </c>
    </row>
    <row r="128" spans="1:5" ht="13.5" thickBot="1">
      <c r="A128" s="599" t="s">
        <v>244</v>
      </c>
      <c r="B128" s="35">
        <v>750</v>
      </c>
      <c r="C128" s="683">
        <v>0.27</v>
      </c>
      <c r="D128" s="35">
        <f t="shared" si="14"/>
        <v>202.5</v>
      </c>
      <c r="E128" s="35">
        <f t="shared" si="15"/>
        <v>952.5</v>
      </c>
    </row>
    <row r="129" spans="1:5" ht="13.5" thickBot="1">
      <c r="A129" s="686" t="s">
        <v>64</v>
      </c>
      <c r="B129" s="501">
        <f>SUM(B115:B128)</f>
        <v>29682.8</v>
      </c>
      <c r="C129" s="178"/>
      <c r="D129" s="501">
        <f>SUM(D115:D128)</f>
        <v>5564.388</v>
      </c>
      <c r="E129" s="370">
        <f>SUM(E115:E128)</f>
        <v>35247.188</v>
      </c>
    </row>
    <row r="131" spans="1:2" ht="12.75">
      <c r="A131" t="s">
        <v>245</v>
      </c>
      <c r="B131" s="351">
        <f>3200*0.15</f>
        <v>480</v>
      </c>
    </row>
    <row r="133" ht="13.5" thickBot="1">
      <c r="A133" t="s">
        <v>260</v>
      </c>
    </row>
    <row r="134" spans="1:2" ht="12.75">
      <c r="A134" s="1206" t="s">
        <v>255</v>
      </c>
      <c r="B134" s="1207"/>
    </row>
    <row r="135" spans="1:2" ht="12.75">
      <c r="A135" s="33" t="s">
        <v>247</v>
      </c>
      <c r="B135" s="34">
        <f>1*J121</f>
        <v>4777.5</v>
      </c>
    </row>
    <row r="136" spans="1:2" ht="12.75">
      <c r="A136" s="33" t="s">
        <v>248</v>
      </c>
      <c r="B136" s="34">
        <f>D129</f>
        <v>5564.388</v>
      </c>
    </row>
    <row r="137" spans="1:2" ht="12.75">
      <c r="A137" s="33" t="s">
        <v>249</v>
      </c>
      <c r="B137" s="664">
        <f>B136-B135</f>
        <v>786.8879999999999</v>
      </c>
    </row>
    <row r="143" ht="12.75">
      <c r="A143" t="s">
        <v>260</v>
      </c>
    </row>
    <row r="144" spans="1:3" ht="12.75">
      <c r="A144" s="33" t="s">
        <v>261</v>
      </c>
      <c r="B144" s="34">
        <f>B137</f>
        <v>786.8879999999999</v>
      </c>
      <c r="C144" t="s">
        <v>197</v>
      </c>
    </row>
    <row r="145" spans="1:3" ht="12.75">
      <c r="A145" s="33" t="s">
        <v>262</v>
      </c>
      <c r="B145" s="34">
        <f>I91+I124-B109</f>
        <v>7517.279500000001</v>
      </c>
      <c r="C145" t="s">
        <v>199</v>
      </c>
    </row>
    <row r="146" ht="12.75">
      <c r="B146" s="351"/>
    </row>
  </sheetData>
  <sheetProtection/>
  <mergeCells count="4">
    <mergeCell ref="A23:B23"/>
    <mergeCell ref="A56:B56"/>
    <mergeCell ref="A101:B101"/>
    <mergeCell ref="A134:B134"/>
  </mergeCells>
  <printOptions/>
  <pageMargins left="0.75" right="0.75" top="1" bottom="1" header="0" footer="0"/>
  <pageSetup orientation="portrait" paperSize="9"/>
  <drawing r:id="rId1"/>
</worksheet>
</file>

<file path=xl/worksheets/sheet22.xml><?xml version="1.0" encoding="utf-8"?>
<worksheet xmlns="http://schemas.openxmlformats.org/spreadsheetml/2006/main" xmlns:r="http://schemas.openxmlformats.org/officeDocument/2006/relationships">
  <dimension ref="A1:M55"/>
  <sheetViews>
    <sheetView zoomScalePageLayoutView="0" workbookViewId="0" topLeftCell="A1">
      <selection activeCell="J10" sqref="J10"/>
    </sheetView>
  </sheetViews>
  <sheetFormatPr defaultColWidth="11.421875" defaultRowHeight="12.75"/>
  <cols>
    <col min="1" max="1" width="24.421875" style="0" customWidth="1"/>
    <col min="2" max="2" width="9.57421875" style="0" customWidth="1"/>
    <col min="3" max="3" width="5.7109375" style="0" customWidth="1"/>
    <col min="4" max="4" width="6.00390625" style="0" customWidth="1"/>
    <col min="5" max="5" width="5.8515625" style="0" customWidth="1"/>
    <col min="6" max="7" width="6.00390625" style="0" customWidth="1"/>
    <col min="8" max="8" width="6.140625" style="0" customWidth="1"/>
    <col min="9" max="9" width="8.57421875" style="0" customWidth="1"/>
  </cols>
  <sheetData>
    <row r="1" spans="1:9" ht="9.75" customHeight="1" thickBot="1">
      <c r="A1" s="1208" t="s">
        <v>160</v>
      </c>
      <c r="B1" s="1209"/>
      <c r="C1" s="1209"/>
      <c r="D1" s="1209"/>
      <c r="E1" s="1209"/>
      <c r="F1" s="1209"/>
      <c r="G1" s="1209"/>
      <c r="H1" s="1209"/>
      <c r="I1" s="1210"/>
    </row>
    <row r="2" spans="1:10" ht="9.75" customHeight="1" thickBot="1">
      <c r="A2" s="688" t="s">
        <v>718</v>
      </c>
      <c r="B2" s="689" t="s">
        <v>263</v>
      </c>
      <c r="C2" s="689" t="s">
        <v>162</v>
      </c>
      <c r="D2" s="689" t="s">
        <v>163</v>
      </c>
      <c r="E2" s="689" t="s">
        <v>164</v>
      </c>
      <c r="F2" s="689" t="s">
        <v>165</v>
      </c>
      <c r="G2" s="689" t="s">
        <v>166</v>
      </c>
      <c r="H2" s="689" t="s">
        <v>167</v>
      </c>
      <c r="I2" s="690" t="s">
        <v>64</v>
      </c>
      <c r="J2" s="63"/>
    </row>
    <row r="3" spans="1:13" ht="9.75" customHeight="1">
      <c r="A3" s="691" t="s">
        <v>174</v>
      </c>
      <c r="B3" s="692">
        <v>0</v>
      </c>
      <c r="C3" s="692">
        <v>1500</v>
      </c>
      <c r="D3" s="692">
        <v>200</v>
      </c>
      <c r="E3" s="692">
        <v>600</v>
      </c>
      <c r="F3" s="692">
        <v>500</v>
      </c>
      <c r="G3" s="692">
        <v>320</v>
      </c>
      <c r="H3" s="692">
        <v>1000</v>
      </c>
      <c r="I3" s="692">
        <f aca="true" t="shared" si="0" ref="I3:I8">SUM(B3:H3)</f>
        <v>4120</v>
      </c>
      <c r="J3" s="351"/>
      <c r="K3" s="351"/>
      <c r="L3" s="351"/>
      <c r="M3" s="351"/>
    </row>
    <row r="4" spans="1:13" ht="9.75" customHeight="1">
      <c r="A4" s="225" t="s">
        <v>175</v>
      </c>
      <c r="B4" s="693">
        <v>100</v>
      </c>
      <c r="C4" s="693">
        <v>1000</v>
      </c>
      <c r="D4" s="693">
        <v>180</v>
      </c>
      <c r="E4" s="693">
        <v>450</v>
      </c>
      <c r="F4" s="693">
        <v>320</v>
      </c>
      <c r="G4" s="693">
        <v>450</v>
      </c>
      <c r="H4" s="693">
        <v>800</v>
      </c>
      <c r="I4" s="693">
        <f t="shared" si="0"/>
        <v>3300</v>
      </c>
      <c r="J4" s="351"/>
      <c r="K4" s="351"/>
      <c r="L4" s="351"/>
      <c r="M4" s="351"/>
    </row>
    <row r="5" spans="1:13" ht="9.75" customHeight="1">
      <c r="A5" s="225" t="s">
        <v>176</v>
      </c>
      <c r="B5" s="693">
        <v>0</v>
      </c>
      <c r="C5" s="693">
        <v>250</v>
      </c>
      <c r="D5" s="693">
        <v>0</v>
      </c>
      <c r="E5" s="693">
        <v>60</v>
      </c>
      <c r="F5" s="693">
        <v>50</v>
      </c>
      <c r="G5" s="693">
        <v>45</v>
      </c>
      <c r="H5" s="693">
        <v>150</v>
      </c>
      <c r="I5" s="693">
        <f t="shared" si="0"/>
        <v>555</v>
      </c>
      <c r="J5" s="351"/>
      <c r="K5" s="351"/>
      <c r="L5" s="351"/>
      <c r="M5" s="351"/>
    </row>
    <row r="6" spans="1:13" ht="9.75" customHeight="1">
      <c r="A6" s="225" t="s">
        <v>178</v>
      </c>
      <c r="B6" s="693">
        <v>0</v>
      </c>
      <c r="C6" s="693">
        <v>300</v>
      </c>
      <c r="D6" s="693">
        <v>50</v>
      </c>
      <c r="E6" s="693">
        <v>220</v>
      </c>
      <c r="F6" s="693">
        <v>110</v>
      </c>
      <c r="G6" s="693">
        <v>120</v>
      </c>
      <c r="H6" s="693">
        <v>300</v>
      </c>
      <c r="I6" s="693">
        <f t="shared" si="0"/>
        <v>1100</v>
      </c>
      <c r="J6" s="351"/>
      <c r="K6" s="351"/>
      <c r="L6" s="351"/>
      <c r="M6" s="351"/>
    </row>
    <row r="7" spans="1:13" ht="9.75" customHeight="1">
      <c r="A7" s="225" t="s">
        <v>179</v>
      </c>
      <c r="B7" s="693">
        <v>0</v>
      </c>
      <c r="C7" s="693">
        <v>50</v>
      </c>
      <c r="D7" s="693">
        <v>0</v>
      </c>
      <c r="E7" s="693">
        <v>120</v>
      </c>
      <c r="F7" s="693">
        <v>30</v>
      </c>
      <c r="G7" s="693">
        <v>25</v>
      </c>
      <c r="H7" s="693">
        <v>60</v>
      </c>
      <c r="I7" s="693">
        <f t="shared" si="0"/>
        <v>285</v>
      </c>
      <c r="J7" s="351"/>
      <c r="K7" s="351"/>
      <c r="L7" s="351"/>
      <c r="M7" s="351"/>
    </row>
    <row r="8" spans="1:13" ht="9.75" customHeight="1">
      <c r="A8" s="225" t="s">
        <v>180</v>
      </c>
      <c r="B8" s="693">
        <v>0</v>
      </c>
      <c r="C8" s="693">
        <v>420</v>
      </c>
      <c r="D8" s="693">
        <v>160</v>
      </c>
      <c r="E8" s="693">
        <v>150</v>
      </c>
      <c r="F8" s="693">
        <v>0</v>
      </c>
      <c r="G8" s="693">
        <v>180</v>
      </c>
      <c r="H8" s="693">
        <v>90</v>
      </c>
      <c r="I8" s="693">
        <f t="shared" si="0"/>
        <v>1000</v>
      </c>
      <c r="J8" s="351"/>
      <c r="K8" s="351"/>
      <c r="L8" s="351"/>
      <c r="M8" s="351"/>
    </row>
    <row r="9" spans="1:13" ht="9.75" customHeight="1" thickBot="1">
      <c r="A9" s="191"/>
      <c r="B9" s="694"/>
      <c r="C9" s="694"/>
      <c r="D9" s="694"/>
      <c r="E9" s="694"/>
      <c r="F9" s="694"/>
      <c r="G9" s="694"/>
      <c r="H9" s="694"/>
      <c r="I9" s="694"/>
      <c r="J9" s="351"/>
      <c r="K9" s="351"/>
      <c r="L9" s="351"/>
      <c r="M9" s="351"/>
    </row>
    <row r="10" spans="1:13" ht="9.75" customHeight="1" thickBot="1">
      <c r="A10" s="1211" t="s">
        <v>210</v>
      </c>
      <c r="B10" s="1212"/>
      <c r="C10" s="1213"/>
      <c r="D10" s="191"/>
      <c r="E10" s="191"/>
      <c r="F10" s="191"/>
      <c r="G10" s="191"/>
      <c r="H10" s="191"/>
      <c r="I10" s="191"/>
      <c r="J10" s="351"/>
      <c r="K10" s="351"/>
      <c r="L10" s="351"/>
      <c r="M10" s="351"/>
    </row>
    <row r="11" spans="1:13" ht="9.75" customHeight="1">
      <c r="A11" s="695" t="s">
        <v>264</v>
      </c>
      <c r="B11" s="695" t="s">
        <v>62</v>
      </c>
      <c r="C11" s="695" t="s">
        <v>265</v>
      </c>
      <c r="D11" s="191"/>
      <c r="E11" s="191"/>
      <c r="F11" s="191"/>
      <c r="G11" s="191"/>
      <c r="H11" s="191"/>
      <c r="I11" s="191"/>
      <c r="J11" s="351"/>
      <c r="K11" s="351"/>
      <c r="L11" s="351"/>
      <c r="M11" s="351"/>
    </row>
    <row r="12" spans="1:13" ht="9.75" customHeight="1">
      <c r="A12" s="696" t="s">
        <v>266</v>
      </c>
      <c r="B12" s="696"/>
      <c r="C12" s="697">
        <f>1*I3</f>
        <v>4120</v>
      </c>
      <c r="D12" s="191"/>
      <c r="E12" s="191"/>
      <c r="F12" s="191"/>
      <c r="G12" s="191"/>
      <c r="H12" s="191"/>
      <c r="I12" s="191"/>
      <c r="J12" s="351"/>
      <c r="K12" s="351"/>
      <c r="L12" s="351"/>
      <c r="M12" s="351"/>
    </row>
    <row r="13" spans="1:13" ht="9.75" customHeight="1">
      <c r="A13" s="696" t="s">
        <v>267</v>
      </c>
      <c r="B13" s="696">
        <f>1*I4</f>
        <v>3300</v>
      </c>
      <c r="C13" s="696"/>
      <c r="D13" s="191"/>
      <c r="E13" s="191"/>
      <c r="F13" s="191"/>
      <c r="G13" s="191"/>
      <c r="H13" s="191"/>
      <c r="I13" s="191"/>
      <c r="J13" s="351"/>
      <c r="K13" s="351"/>
      <c r="L13" s="351"/>
      <c r="M13" s="351"/>
    </row>
    <row r="14" spans="1:13" ht="9.75" customHeight="1">
      <c r="A14" s="696" t="s">
        <v>196</v>
      </c>
      <c r="B14" s="696"/>
      <c r="C14" s="697">
        <f>C12-B13</f>
        <v>820</v>
      </c>
      <c r="D14" s="191"/>
      <c r="E14" s="191"/>
      <c r="F14" s="191"/>
      <c r="G14" s="191"/>
      <c r="H14" s="191"/>
      <c r="I14" s="191"/>
      <c r="J14" s="351"/>
      <c r="K14" s="351"/>
      <c r="L14" s="351"/>
      <c r="M14" s="351"/>
    </row>
    <row r="15" spans="1:13" ht="9.75" customHeight="1">
      <c r="A15" s="698"/>
      <c r="B15" s="694"/>
      <c r="C15" s="191"/>
      <c r="D15" s="191"/>
      <c r="E15" s="191"/>
      <c r="F15" s="191"/>
      <c r="G15" s="191"/>
      <c r="H15" s="191"/>
      <c r="I15" s="191"/>
      <c r="J15" s="351"/>
      <c r="K15" s="351"/>
      <c r="L15" s="351"/>
      <c r="M15" s="351"/>
    </row>
    <row r="16" spans="1:13" ht="9.75" customHeight="1">
      <c r="A16" s="696" t="s">
        <v>268</v>
      </c>
      <c r="B16" s="697">
        <f>I5</f>
        <v>555</v>
      </c>
      <c r="C16" s="697"/>
      <c r="D16" s="191"/>
      <c r="E16" s="191"/>
      <c r="F16" s="191"/>
      <c r="G16" s="191"/>
      <c r="H16" s="191"/>
      <c r="I16" s="191"/>
      <c r="J16" s="351"/>
      <c r="K16" s="351"/>
      <c r="L16" s="351"/>
      <c r="M16" s="351"/>
    </row>
    <row r="17" spans="1:13" ht="9.75" customHeight="1">
      <c r="A17" s="696" t="s">
        <v>269</v>
      </c>
      <c r="B17" s="697"/>
      <c r="C17" s="697">
        <f>C14-B16</f>
        <v>265</v>
      </c>
      <c r="D17" s="191"/>
      <c r="E17" s="191"/>
      <c r="F17" s="191"/>
      <c r="G17" s="191"/>
      <c r="H17" s="191"/>
      <c r="I17" s="191"/>
      <c r="J17" s="351"/>
      <c r="K17" s="351"/>
      <c r="L17" s="351"/>
      <c r="M17" s="351"/>
    </row>
    <row r="18" spans="1:13" ht="9.75" customHeight="1" thickBot="1">
      <c r="A18" s="698"/>
      <c r="B18" s="699"/>
      <c r="C18" s="699"/>
      <c r="D18" s="191"/>
      <c r="E18" s="191"/>
      <c r="F18" s="191"/>
      <c r="G18" s="191"/>
      <c r="H18" s="191"/>
      <c r="I18" s="191"/>
      <c r="J18" s="351"/>
      <c r="K18" s="351"/>
      <c r="L18" s="351"/>
      <c r="M18" s="351"/>
    </row>
    <row r="19" spans="1:13" ht="9.75" customHeight="1" thickBot="1">
      <c r="A19" s="1211" t="s">
        <v>270</v>
      </c>
      <c r="B19" s="1212"/>
      <c r="C19" s="1213"/>
      <c r="D19" s="191"/>
      <c r="E19" s="191"/>
      <c r="F19" s="191"/>
      <c r="G19" s="191"/>
      <c r="H19" s="191"/>
      <c r="I19" s="191"/>
      <c r="J19" s="351"/>
      <c r="K19" s="351"/>
      <c r="L19" s="351"/>
      <c r="M19" s="351"/>
    </row>
    <row r="20" spans="1:13" ht="9.75" customHeight="1">
      <c r="A20" s="695" t="s">
        <v>264</v>
      </c>
      <c r="B20" s="695" t="s">
        <v>62</v>
      </c>
      <c r="C20" s="695" t="s">
        <v>265</v>
      </c>
      <c r="D20" s="191"/>
      <c r="E20" s="191"/>
      <c r="F20" s="191"/>
      <c r="G20" s="191"/>
      <c r="H20" s="191"/>
      <c r="I20" s="191"/>
      <c r="J20" s="351"/>
      <c r="K20" s="351"/>
      <c r="L20" s="351"/>
      <c r="M20" s="351"/>
    </row>
    <row r="21" spans="1:13" ht="9.75" customHeight="1">
      <c r="A21" s="696" t="s">
        <v>271</v>
      </c>
      <c r="B21" s="697">
        <f>I6</f>
        <v>1100</v>
      </c>
      <c r="C21" s="697"/>
      <c r="D21" s="191"/>
      <c r="E21" s="191"/>
      <c r="F21" s="191"/>
      <c r="G21" s="191"/>
      <c r="H21" s="191"/>
      <c r="I21" s="191"/>
      <c r="J21" s="351"/>
      <c r="K21" s="351"/>
      <c r="L21" s="351"/>
      <c r="M21" s="351"/>
    </row>
    <row r="22" spans="1:13" ht="9.75" customHeight="1">
      <c r="A22" s="696" t="s">
        <v>272</v>
      </c>
      <c r="B22" s="697">
        <f>I7</f>
        <v>285</v>
      </c>
      <c r="C22" s="696"/>
      <c r="D22" s="191"/>
      <c r="E22" s="191"/>
      <c r="F22" s="191"/>
      <c r="G22" s="191"/>
      <c r="H22" s="191"/>
      <c r="I22" s="191"/>
      <c r="J22" s="351"/>
      <c r="K22" s="351"/>
      <c r="L22" s="351"/>
      <c r="M22" s="351"/>
    </row>
    <row r="23" spans="1:13" ht="9.75" customHeight="1">
      <c r="A23" s="696" t="s">
        <v>273</v>
      </c>
      <c r="B23" s="696"/>
      <c r="C23" s="697">
        <f>I8</f>
        <v>1000</v>
      </c>
      <c r="D23" s="191"/>
      <c r="E23" s="191"/>
      <c r="F23" s="191"/>
      <c r="G23" s="191"/>
      <c r="H23" s="191"/>
      <c r="I23" s="191"/>
      <c r="J23" s="351"/>
      <c r="K23" s="351"/>
      <c r="L23" s="351"/>
      <c r="M23" s="351"/>
    </row>
    <row r="24" spans="1:13" ht="9.75" customHeight="1">
      <c r="A24" s="696" t="s">
        <v>198</v>
      </c>
      <c r="B24" s="697">
        <f>B21+B22-C23</f>
        <v>385</v>
      </c>
      <c r="C24" s="697"/>
      <c r="D24" s="191"/>
      <c r="E24" s="191"/>
      <c r="F24" s="191"/>
      <c r="G24" s="191"/>
      <c r="H24" s="191"/>
      <c r="I24" s="191"/>
      <c r="J24" s="351"/>
      <c r="K24" s="351"/>
      <c r="L24" s="351"/>
      <c r="M24" s="351"/>
    </row>
    <row r="25" spans="1:13" ht="9.75" customHeight="1">
      <c r="A25" s="191"/>
      <c r="B25" s="699"/>
      <c r="C25" s="699"/>
      <c r="D25" s="191"/>
      <c r="E25" s="191"/>
      <c r="F25" s="191"/>
      <c r="G25" s="191"/>
      <c r="H25" s="191"/>
      <c r="I25" s="191"/>
      <c r="J25" s="351"/>
      <c r="K25" s="351"/>
      <c r="L25" s="351"/>
      <c r="M25" s="351"/>
    </row>
    <row r="26" spans="1:13" ht="9.75" customHeight="1">
      <c r="A26" s="191"/>
      <c r="B26" s="699"/>
      <c r="C26" s="699"/>
      <c r="D26" s="191"/>
      <c r="E26" s="191"/>
      <c r="F26" s="191"/>
      <c r="G26" s="191"/>
      <c r="H26" s="191"/>
      <c r="I26" s="191"/>
      <c r="J26" s="351"/>
      <c r="K26" s="351"/>
      <c r="L26" s="351"/>
      <c r="M26" s="351"/>
    </row>
    <row r="27" spans="1:13" ht="9.75" customHeight="1">
      <c r="A27" s="191"/>
      <c r="B27" s="699"/>
      <c r="C27" s="699"/>
      <c r="D27" s="191"/>
      <c r="E27" s="191"/>
      <c r="F27" s="191"/>
      <c r="G27" s="191"/>
      <c r="H27" s="191"/>
      <c r="I27" s="191"/>
      <c r="J27" s="351"/>
      <c r="K27" s="351"/>
      <c r="L27" s="351"/>
      <c r="M27" s="351"/>
    </row>
    <row r="28" spans="1:13" ht="9.75" customHeight="1" thickBot="1">
      <c r="A28" s="191"/>
      <c r="B28" s="699"/>
      <c r="C28" s="699"/>
      <c r="D28" s="191"/>
      <c r="E28" s="191"/>
      <c r="F28" s="191"/>
      <c r="G28" s="191"/>
      <c r="H28" s="191"/>
      <c r="I28" s="191"/>
      <c r="J28" s="351"/>
      <c r="K28" s="351"/>
      <c r="L28" s="351"/>
      <c r="M28" s="351"/>
    </row>
    <row r="29" spans="1:13" ht="9.75" customHeight="1" thickBot="1">
      <c r="A29" s="1208" t="s">
        <v>193</v>
      </c>
      <c r="B29" s="1209"/>
      <c r="C29" s="1209"/>
      <c r="D29" s="1209"/>
      <c r="E29" s="1209"/>
      <c r="F29" s="1209"/>
      <c r="G29" s="1209"/>
      <c r="H29" s="1210"/>
      <c r="I29" s="191"/>
      <c r="J29" s="351"/>
      <c r="K29" s="351"/>
      <c r="L29" s="351"/>
      <c r="M29" s="351"/>
    </row>
    <row r="30" spans="1:13" ht="9.75" customHeight="1" thickBot="1">
      <c r="A30" s="700" t="s">
        <v>718</v>
      </c>
      <c r="B30" s="701" t="s">
        <v>263</v>
      </c>
      <c r="C30" s="701" t="s">
        <v>162</v>
      </c>
      <c r="D30" s="702" t="s">
        <v>163</v>
      </c>
      <c r="E30" s="702" t="s">
        <v>164</v>
      </c>
      <c r="F30" s="702" t="s">
        <v>165</v>
      </c>
      <c r="G30" s="702" t="s">
        <v>166</v>
      </c>
      <c r="H30" s="702" t="s">
        <v>167</v>
      </c>
      <c r="I30" s="191"/>
      <c r="J30" s="351"/>
      <c r="K30" s="351"/>
      <c r="L30" s="351"/>
      <c r="M30" s="351"/>
    </row>
    <row r="31" spans="1:13" ht="9.75" customHeight="1">
      <c r="A31" s="691" t="s">
        <v>174</v>
      </c>
      <c r="B31" s="697">
        <v>0</v>
      </c>
      <c r="C31" s="697">
        <v>1500</v>
      </c>
      <c r="D31" s="692">
        <v>200</v>
      </c>
      <c r="E31" s="692">
        <v>600</v>
      </c>
      <c r="F31" s="692">
        <v>500</v>
      </c>
      <c r="G31" s="692">
        <v>320</v>
      </c>
      <c r="H31" s="692">
        <v>1000</v>
      </c>
      <c r="I31" s="191"/>
      <c r="J31" s="351"/>
      <c r="K31" s="351"/>
      <c r="L31" s="351"/>
      <c r="M31" s="351"/>
    </row>
    <row r="32" spans="1:13" ht="9.75" customHeight="1">
      <c r="A32" s="225" t="s">
        <v>175</v>
      </c>
      <c r="B32" s="693">
        <v>100</v>
      </c>
      <c r="C32" s="693">
        <v>1000</v>
      </c>
      <c r="D32" s="693">
        <v>180</v>
      </c>
      <c r="E32" s="693">
        <v>450</v>
      </c>
      <c r="F32" s="693">
        <v>320</v>
      </c>
      <c r="G32" s="693">
        <v>450</v>
      </c>
      <c r="H32" s="693">
        <v>800</v>
      </c>
      <c r="I32" s="191"/>
      <c r="J32" s="351"/>
      <c r="K32" s="351"/>
      <c r="L32" s="351"/>
      <c r="M32" s="351"/>
    </row>
    <row r="33" spans="1:13" ht="9.75" customHeight="1">
      <c r="A33" s="225" t="s">
        <v>176</v>
      </c>
      <c r="B33" s="693">
        <v>0</v>
      </c>
      <c r="C33" s="693">
        <v>250</v>
      </c>
      <c r="D33" s="693">
        <v>0</v>
      </c>
      <c r="E33" s="693">
        <v>60</v>
      </c>
      <c r="F33" s="693">
        <v>50</v>
      </c>
      <c r="G33" s="693">
        <v>45</v>
      </c>
      <c r="H33" s="693">
        <v>150</v>
      </c>
      <c r="I33" s="191"/>
      <c r="J33" s="351"/>
      <c r="K33" s="351"/>
      <c r="L33" s="351"/>
      <c r="M33" s="351"/>
    </row>
    <row r="34" spans="1:13" ht="9.75" customHeight="1">
      <c r="A34" s="225" t="s">
        <v>177</v>
      </c>
      <c r="B34" s="693">
        <f>B32-B31+B33</f>
        <v>100</v>
      </c>
      <c r="C34" s="693">
        <f>B34+C32-C31+C33</f>
        <v>-150</v>
      </c>
      <c r="D34" s="693">
        <f>D32-D31</f>
        <v>-20</v>
      </c>
      <c r="E34" s="693">
        <f>E32+E33-E31</f>
        <v>-90</v>
      </c>
      <c r="F34" s="693">
        <f>F32+F33-F31</f>
        <v>-130</v>
      </c>
      <c r="G34" s="693">
        <f>G32+G33-G31</f>
        <v>175</v>
      </c>
      <c r="H34" s="693">
        <f>G34+H32+H33-H31</f>
        <v>125</v>
      </c>
      <c r="I34" s="191"/>
      <c r="J34" s="351"/>
      <c r="K34" s="351"/>
      <c r="L34" s="351"/>
      <c r="M34" s="351"/>
    </row>
    <row r="35" spans="1:13" ht="9.75" customHeight="1">
      <c r="A35" s="225"/>
      <c r="B35" s="693"/>
      <c r="C35" s="693"/>
      <c r="D35" s="693"/>
      <c r="E35" s="693"/>
      <c r="F35" s="693"/>
      <c r="G35" s="693"/>
      <c r="H35" s="693"/>
      <c r="I35" s="191"/>
      <c r="J35" s="351"/>
      <c r="K35" s="351"/>
      <c r="L35" s="351"/>
      <c r="M35" s="351"/>
    </row>
    <row r="36" spans="1:9" ht="9.75" customHeight="1">
      <c r="A36" s="225" t="s">
        <v>178</v>
      </c>
      <c r="B36" s="693">
        <v>0</v>
      </c>
      <c r="C36" s="693">
        <v>300</v>
      </c>
      <c r="D36" s="693">
        <v>50</v>
      </c>
      <c r="E36" s="693">
        <v>220</v>
      </c>
      <c r="F36" s="693">
        <v>110</v>
      </c>
      <c r="G36" s="693">
        <v>120</v>
      </c>
      <c r="H36" s="693">
        <v>300</v>
      </c>
      <c r="I36" s="191"/>
    </row>
    <row r="37" spans="1:9" ht="9.75" customHeight="1">
      <c r="A37" s="225" t="s">
        <v>179</v>
      </c>
      <c r="B37" s="693">
        <v>0</v>
      </c>
      <c r="C37" s="693">
        <v>50</v>
      </c>
      <c r="D37" s="693">
        <v>0</v>
      </c>
      <c r="E37" s="693">
        <v>120</v>
      </c>
      <c r="F37" s="693">
        <v>30</v>
      </c>
      <c r="G37" s="693">
        <v>25</v>
      </c>
      <c r="H37" s="693">
        <v>60</v>
      </c>
      <c r="I37" s="191"/>
    </row>
    <row r="38" spans="1:9" ht="9.75" customHeight="1">
      <c r="A38" s="225" t="s">
        <v>180</v>
      </c>
      <c r="B38" s="693">
        <v>0</v>
      </c>
      <c r="C38" s="693">
        <v>420</v>
      </c>
      <c r="D38" s="693">
        <v>160</v>
      </c>
      <c r="E38" s="693">
        <v>150</v>
      </c>
      <c r="F38" s="693">
        <v>0</v>
      </c>
      <c r="G38" s="693">
        <v>180</v>
      </c>
      <c r="H38" s="693">
        <v>90</v>
      </c>
      <c r="I38" s="191"/>
    </row>
    <row r="39" spans="1:9" ht="9.75" customHeight="1">
      <c r="A39" s="703"/>
      <c r="B39" s="191"/>
      <c r="C39" s="191"/>
      <c r="D39" s="191"/>
      <c r="E39" s="191"/>
      <c r="F39" s="191"/>
      <c r="G39" s="191"/>
      <c r="H39" s="191"/>
      <c r="I39" s="191"/>
    </row>
    <row r="40" spans="1:9" ht="9.75" customHeight="1">
      <c r="A40" s="696" t="s">
        <v>269</v>
      </c>
      <c r="B40" s="225"/>
      <c r="C40" s="693">
        <f>C34+C36+C37-C38</f>
        <v>-220</v>
      </c>
      <c r="D40" s="693">
        <f>D34+D36-D38</f>
        <v>-130</v>
      </c>
      <c r="E40" s="693">
        <v>0</v>
      </c>
      <c r="F40" s="693">
        <v>0</v>
      </c>
      <c r="G40" s="693">
        <v>0</v>
      </c>
      <c r="H40" s="693"/>
      <c r="I40" s="693">
        <f>SUM(C40:H40)</f>
        <v>-350</v>
      </c>
    </row>
    <row r="41" spans="1:9" ht="9.75" customHeight="1">
      <c r="A41" s="696" t="s">
        <v>274</v>
      </c>
      <c r="B41" s="225"/>
      <c r="C41" s="693">
        <v>0</v>
      </c>
      <c r="D41" s="693">
        <v>0</v>
      </c>
      <c r="E41" s="693">
        <v>0</v>
      </c>
      <c r="F41" s="693">
        <v>0</v>
      </c>
      <c r="G41" s="693">
        <v>175</v>
      </c>
      <c r="H41" s="693">
        <v>125</v>
      </c>
      <c r="I41" s="693">
        <f>SUM(C41:H41)</f>
        <v>300</v>
      </c>
    </row>
    <row r="42" spans="1:9" ht="9.75" customHeight="1">
      <c r="A42" s="696" t="s">
        <v>198</v>
      </c>
      <c r="B42" s="225"/>
      <c r="C42" s="693">
        <v>0</v>
      </c>
      <c r="D42" s="693">
        <v>0</v>
      </c>
      <c r="E42" s="693">
        <f>E34+E36+E37-E38</f>
        <v>100</v>
      </c>
      <c r="F42" s="693">
        <f>E42+F34+F36+F37</f>
        <v>110</v>
      </c>
      <c r="G42" s="693">
        <f>F42+G36+G37-G38</f>
        <v>75</v>
      </c>
      <c r="H42" s="693">
        <f>G42+H36+H37-H38</f>
        <v>345</v>
      </c>
      <c r="I42" s="191"/>
    </row>
    <row r="43" spans="1:9" ht="9.75" customHeight="1">
      <c r="A43" s="191"/>
      <c r="B43" s="191"/>
      <c r="C43" s="191"/>
      <c r="D43" s="191"/>
      <c r="E43" s="191"/>
      <c r="F43" s="191"/>
      <c r="G43" s="191"/>
      <c r="H43" s="191"/>
      <c r="I43" s="191"/>
    </row>
    <row r="44" spans="1:9" ht="9.75" customHeight="1">
      <c r="A44" s="191"/>
      <c r="B44" s="191"/>
      <c r="C44" s="191"/>
      <c r="D44" s="191"/>
      <c r="E44" s="191"/>
      <c r="F44" s="191"/>
      <c r="G44" s="191"/>
      <c r="H44" s="191"/>
      <c r="I44" s="191"/>
    </row>
    <row r="45" spans="1:9" ht="9.75" customHeight="1">
      <c r="A45" s="191"/>
      <c r="B45" s="191"/>
      <c r="C45" s="191"/>
      <c r="D45" s="191"/>
      <c r="E45" s="191"/>
      <c r="F45" s="191"/>
      <c r="G45" s="191"/>
      <c r="H45" s="191"/>
      <c r="I45" s="191"/>
    </row>
    <row r="46" spans="1:9" ht="9.75" customHeight="1">
      <c r="A46" s="191"/>
      <c r="B46" s="191"/>
      <c r="C46" s="191"/>
      <c r="D46" s="191"/>
      <c r="E46" s="191"/>
      <c r="F46" s="191"/>
      <c r="G46" s="191"/>
      <c r="H46" s="191"/>
      <c r="I46" s="191"/>
    </row>
    <row r="47" spans="1:9" ht="9.75" customHeight="1">
      <c r="A47" s="191"/>
      <c r="B47" s="191"/>
      <c r="C47" s="191"/>
      <c r="D47" s="191"/>
      <c r="E47" s="191"/>
      <c r="F47" s="191"/>
      <c r="G47" s="191"/>
      <c r="H47" s="191"/>
      <c r="I47" s="191"/>
    </row>
    <row r="48" spans="1:9" ht="9.75" customHeight="1">
      <c r="A48" s="191"/>
      <c r="B48" s="191"/>
      <c r="C48" s="191"/>
      <c r="D48" s="191"/>
      <c r="E48" s="191"/>
      <c r="F48" s="191"/>
      <c r="G48" s="191"/>
      <c r="H48" s="191"/>
      <c r="I48" s="191"/>
    </row>
    <row r="49" spans="1:9" ht="9.75" customHeight="1">
      <c r="A49" s="191"/>
      <c r="B49" s="191"/>
      <c r="C49" s="191"/>
      <c r="D49" s="191"/>
      <c r="E49" s="191"/>
      <c r="F49" s="191"/>
      <c r="G49" s="191"/>
      <c r="H49" s="191"/>
      <c r="I49" s="191"/>
    </row>
    <row r="50" spans="1:9" ht="9.75" customHeight="1">
      <c r="A50" s="191"/>
      <c r="B50" s="191"/>
      <c r="C50" s="191"/>
      <c r="D50" s="191"/>
      <c r="E50" s="191"/>
      <c r="F50" s="191"/>
      <c r="G50" s="191"/>
      <c r="H50" s="191"/>
      <c r="I50" s="191"/>
    </row>
    <row r="51" spans="1:9" ht="9.75" customHeight="1">
      <c r="A51" s="191" t="s">
        <v>275</v>
      </c>
      <c r="B51" s="694">
        <v>350</v>
      </c>
      <c r="C51" s="191"/>
      <c r="D51" s="191"/>
      <c r="E51" s="191"/>
      <c r="F51" s="191"/>
      <c r="G51" s="191"/>
      <c r="H51" s="191"/>
      <c r="I51" s="191"/>
    </row>
    <row r="52" spans="1:9" ht="9.75" customHeight="1">
      <c r="A52" s="191" t="s">
        <v>217</v>
      </c>
      <c r="B52" s="694">
        <v>345</v>
      </c>
      <c r="C52" s="191"/>
      <c r="D52" s="191"/>
      <c r="E52" s="191"/>
      <c r="F52" s="191"/>
      <c r="G52" s="191"/>
      <c r="H52" s="191"/>
      <c r="I52" s="191"/>
    </row>
    <row r="53" spans="1:9" ht="9.75" customHeight="1">
      <c r="A53" s="191" t="s">
        <v>1101</v>
      </c>
      <c r="B53" s="694">
        <f>B52-B51</f>
        <v>-5</v>
      </c>
      <c r="C53" s="191" t="s">
        <v>276</v>
      </c>
      <c r="D53" s="191"/>
      <c r="E53" s="191"/>
      <c r="F53" s="191"/>
      <c r="G53" s="191"/>
      <c r="H53" s="191"/>
      <c r="I53" s="191"/>
    </row>
    <row r="54" spans="1:9" ht="9.75" customHeight="1">
      <c r="A54" s="191"/>
      <c r="B54" s="191"/>
      <c r="C54" s="191"/>
      <c r="D54" s="191"/>
      <c r="E54" s="191"/>
      <c r="F54" s="191"/>
      <c r="G54" s="191"/>
      <c r="H54" s="191"/>
      <c r="I54" s="191"/>
    </row>
    <row r="55" spans="1:9" ht="9.75" customHeight="1">
      <c r="A55" s="191" t="s">
        <v>277</v>
      </c>
      <c r="B55" s="694">
        <v>125</v>
      </c>
      <c r="C55" s="191" t="s">
        <v>278</v>
      </c>
      <c r="D55" s="191"/>
      <c r="E55" s="191"/>
      <c r="F55" s="191"/>
      <c r="G55" s="191"/>
      <c r="H55" s="191"/>
      <c r="I55" s="191"/>
    </row>
  </sheetData>
  <sheetProtection/>
  <mergeCells count="4">
    <mergeCell ref="A1:I1"/>
    <mergeCell ref="A10:C10"/>
    <mergeCell ref="A19:C19"/>
    <mergeCell ref="A29:H29"/>
  </mergeCells>
  <printOptions/>
  <pageMargins left="0.75" right="0.75" top="1" bottom="1" header="0" footer="0"/>
  <pageSetup orientation="portrait" paperSize="9"/>
  <drawing r:id="rId1"/>
</worksheet>
</file>

<file path=xl/worksheets/sheet23.xml><?xml version="1.0" encoding="utf-8"?>
<worksheet xmlns="http://schemas.openxmlformats.org/spreadsheetml/2006/main" xmlns:r="http://schemas.openxmlformats.org/officeDocument/2006/relationships">
  <dimension ref="A2:K31"/>
  <sheetViews>
    <sheetView showGridLines="0" zoomScalePageLayoutView="0" workbookViewId="0" topLeftCell="A11">
      <selection activeCell="F34" sqref="F34"/>
    </sheetView>
  </sheetViews>
  <sheetFormatPr defaultColWidth="11.421875" defaultRowHeight="12.75"/>
  <cols>
    <col min="1" max="1" width="18.57421875" style="0" customWidth="1"/>
    <col min="3" max="3" width="10.8515625" style="0" customWidth="1"/>
    <col min="4" max="4" width="10.140625" style="0" customWidth="1"/>
    <col min="5" max="5" width="9.57421875" style="0" customWidth="1"/>
    <col min="6" max="6" width="16.421875" style="0" customWidth="1"/>
  </cols>
  <sheetData>
    <row r="2" spans="1:11" ht="18">
      <c r="A2" s="1088" t="s">
        <v>155</v>
      </c>
      <c r="B2" s="1088"/>
      <c r="C2" s="1088"/>
      <c r="D2" s="1088"/>
      <c r="E2" s="1088"/>
      <c r="F2" s="1088"/>
      <c r="G2" s="1088"/>
      <c r="H2" s="1088"/>
      <c r="I2" s="1088"/>
      <c r="J2" s="1088"/>
      <c r="K2" s="1088"/>
    </row>
    <row r="3" spans="1:11" ht="18">
      <c r="A3" s="64"/>
      <c r="B3" s="64"/>
      <c r="C3" s="64"/>
      <c r="D3" s="64"/>
      <c r="E3" s="64"/>
      <c r="F3" s="64"/>
      <c r="G3" s="64"/>
      <c r="H3" s="64"/>
      <c r="I3" s="64"/>
      <c r="J3" s="64"/>
      <c r="K3" s="64"/>
    </row>
    <row r="4" ht="12.75">
      <c r="A4" s="25" t="s">
        <v>1169</v>
      </c>
    </row>
    <row r="5" spans="1:3" ht="12.75">
      <c r="A5" t="s">
        <v>1170</v>
      </c>
      <c r="C5">
        <v>4020</v>
      </c>
    </row>
    <row r="6" ht="12.75">
      <c r="A6" t="s">
        <v>1171</v>
      </c>
    </row>
    <row r="7" spans="1:3" ht="12.75">
      <c r="A7" t="s">
        <v>1172</v>
      </c>
      <c r="C7">
        <v>2400</v>
      </c>
    </row>
    <row r="8" spans="1:3" ht="12.75">
      <c r="A8" t="s">
        <v>1173</v>
      </c>
      <c r="C8">
        <v>1200</v>
      </c>
    </row>
    <row r="9" spans="1:3" ht="12.75">
      <c r="A9" t="s">
        <v>1174</v>
      </c>
      <c r="C9">
        <v>18000</v>
      </c>
    </row>
    <row r="10" spans="1:3" ht="12.75">
      <c r="A10" t="s">
        <v>1175</v>
      </c>
      <c r="C10">
        <v>996.23</v>
      </c>
    </row>
    <row r="11" spans="1:3" ht="12.75">
      <c r="A11" t="s">
        <v>1176</v>
      </c>
      <c r="C11">
        <v>996.23</v>
      </c>
    </row>
    <row r="13" ht="13.5" thickBot="1">
      <c r="A13" t="s">
        <v>1177</v>
      </c>
    </row>
    <row r="14" spans="1:11" ht="13.5" thickBot="1">
      <c r="A14" s="1214" t="s">
        <v>1178</v>
      </c>
      <c r="B14" s="1215"/>
      <c r="C14" s="1216" t="s">
        <v>1179</v>
      </c>
      <c r="D14" s="1217"/>
      <c r="E14" s="1217"/>
      <c r="F14" s="1217"/>
      <c r="G14" s="1218"/>
      <c r="H14" s="1216" t="s">
        <v>1180</v>
      </c>
      <c r="I14" s="1217"/>
      <c r="J14" s="1217"/>
      <c r="K14" s="1218"/>
    </row>
    <row r="15" spans="1:11" ht="38.25">
      <c r="A15" s="442" t="s">
        <v>0</v>
      </c>
      <c r="B15" s="29" t="s">
        <v>1</v>
      </c>
      <c r="C15" s="443" t="s">
        <v>2</v>
      </c>
      <c r="D15" s="443" t="s">
        <v>3</v>
      </c>
      <c r="E15" s="443" t="s">
        <v>4</v>
      </c>
      <c r="F15" s="443" t="s">
        <v>5</v>
      </c>
      <c r="G15" s="443" t="s">
        <v>6</v>
      </c>
      <c r="H15" s="443" t="s">
        <v>7</v>
      </c>
      <c r="I15" s="443" t="s">
        <v>8</v>
      </c>
      <c r="J15" s="443" t="s">
        <v>9</v>
      </c>
      <c r="K15" s="443" t="s">
        <v>10</v>
      </c>
    </row>
    <row r="16" spans="1:11" ht="12.75">
      <c r="A16" s="33">
        <v>0</v>
      </c>
      <c r="B16" s="444">
        <v>10000</v>
      </c>
      <c r="C16" s="445">
        <f>IF(A25&gt;C5,A25):IF(A25&lt;B16,A25)</f>
        <v>6650</v>
      </c>
      <c r="D16" s="33">
        <v>0</v>
      </c>
      <c r="E16" s="33">
        <v>9</v>
      </c>
      <c r="F16" s="33">
        <v>0</v>
      </c>
      <c r="G16" s="34">
        <f>D16+E16/100*(C16-F16)</f>
        <v>598.5</v>
      </c>
      <c r="H16" s="33">
        <v>0.09</v>
      </c>
      <c r="I16" s="33">
        <f>1*C16</f>
        <v>6650</v>
      </c>
      <c r="J16" s="33">
        <v>0</v>
      </c>
      <c r="K16" s="33">
        <f>H16*I16-J16</f>
        <v>598.5</v>
      </c>
    </row>
    <row r="17" spans="1:11" ht="12.75">
      <c r="A17" s="33">
        <v>10000</v>
      </c>
      <c r="B17" s="444">
        <v>20000</v>
      </c>
      <c r="C17" s="446">
        <f>IF(A26&gt;A17,A26):IF(A26&lt;B17,A26)</f>
        <v>11000</v>
      </c>
      <c r="D17" s="33">
        <v>900</v>
      </c>
      <c r="E17" s="33">
        <v>14</v>
      </c>
      <c r="F17" s="33">
        <v>10000</v>
      </c>
      <c r="G17" s="34">
        <f aca="true" t="shared" si="0" ref="G17:G22">D17+E17/100*(C17-F17)</f>
        <v>1040</v>
      </c>
      <c r="H17" s="33">
        <v>0.14</v>
      </c>
      <c r="I17" s="33">
        <f aca="true" t="shared" si="1" ref="I17:I22">1*C17</f>
        <v>11000</v>
      </c>
      <c r="J17" s="33">
        <v>500</v>
      </c>
      <c r="K17" s="33">
        <f aca="true" t="shared" si="2" ref="K17:K22">H17*I17-J17</f>
        <v>1040.0000000000002</v>
      </c>
    </row>
    <row r="18" spans="1:11" ht="12.75">
      <c r="A18" s="33">
        <v>20000</v>
      </c>
      <c r="B18" s="444">
        <v>30000</v>
      </c>
      <c r="C18" s="446">
        <f>IF(A27&gt;A18,A27):IF(A27&lt;B18,A27)</f>
        <v>21000</v>
      </c>
      <c r="D18" s="33">
        <v>2300</v>
      </c>
      <c r="E18" s="33">
        <v>19</v>
      </c>
      <c r="F18" s="33">
        <v>20000</v>
      </c>
      <c r="G18" s="34">
        <f t="shared" si="0"/>
        <v>2490</v>
      </c>
      <c r="H18" s="33">
        <v>0.19</v>
      </c>
      <c r="I18" s="33">
        <f t="shared" si="1"/>
        <v>21000</v>
      </c>
      <c r="J18" s="33">
        <v>1500</v>
      </c>
      <c r="K18" s="33">
        <f t="shared" si="2"/>
        <v>2490</v>
      </c>
    </row>
    <row r="19" spans="1:11" ht="12.75">
      <c r="A19" s="133">
        <v>30000</v>
      </c>
      <c r="B19" s="447">
        <v>60000</v>
      </c>
      <c r="C19" s="448">
        <f>IF(A28&gt;A19,A28):IF(A28&lt;B19,A28)</f>
        <v>55382</v>
      </c>
      <c r="D19" s="133">
        <v>4200</v>
      </c>
      <c r="E19" s="133">
        <v>23</v>
      </c>
      <c r="F19" s="133">
        <v>30000</v>
      </c>
      <c r="G19" s="132">
        <f t="shared" si="0"/>
        <v>10037.86</v>
      </c>
      <c r="H19" s="133">
        <v>0.23</v>
      </c>
      <c r="I19" s="133">
        <f t="shared" si="1"/>
        <v>55382</v>
      </c>
      <c r="J19" s="133">
        <v>2700</v>
      </c>
      <c r="K19" s="133">
        <f t="shared" si="2"/>
        <v>10037.86</v>
      </c>
    </row>
    <row r="20" spans="1:11" ht="12.75">
      <c r="A20" s="33">
        <v>60000</v>
      </c>
      <c r="B20" s="444">
        <v>90000</v>
      </c>
      <c r="C20" s="446">
        <f>IF(A29&gt;A20,A29):IF(A29&lt;B20,A29)</f>
        <v>75894</v>
      </c>
      <c r="D20" s="33">
        <v>11100</v>
      </c>
      <c r="E20" s="33">
        <v>27</v>
      </c>
      <c r="F20" s="33">
        <v>60000</v>
      </c>
      <c r="G20" s="34">
        <f t="shared" si="0"/>
        <v>15391.380000000001</v>
      </c>
      <c r="H20" s="33">
        <v>0.27</v>
      </c>
      <c r="I20" s="33">
        <f t="shared" si="1"/>
        <v>75894</v>
      </c>
      <c r="J20" s="33">
        <v>5100</v>
      </c>
      <c r="K20" s="33">
        <f t="shared" si="2"/>
        <v>15391.380000000001</v>
      </c>
    </row>
    <row r="21" spans="1:11" ht="12.75">
      <c r="A21" s="33">
        <v>90000</v>
      </c>
      <c r="B21" s="444">
        <v>120000</v>
      </c>
      <c r="C21" s="449">
        <f>IF(A30&gt;A21,A30):IF(A30&lt;B21,A30)</f>
        <v>114500</v>
      </c>
      <c r="D21" s="33">
        <v>19200</v>
      </c>
      <c r="E21" s="33">
        <v>31</v>
      </c>
      <c r="F21" s="33">
        <v>90000</v>
      </c>
      <c r="G21" s="34">
        <f t="shared" si="0"/>
        <v>26795</v>
      </c>
      <c r="H21" s="33">
        <v>0.31</v>
      </c>
      <c r="I21" s="33">
        <f t="shared" si="1"/>
        <v>114500</v>
      </c>
      <c r="J21" s="33">
        <v>8700</v>
      </c>
      <c r="K21" s="33">
        <f t="shared" si="2"/>
        <v>26795</v>
      </c>
    </row>
    <row r="22" spans="1:11" ht="12.75">
      <c r="A22" s="33">
        <v>120000</v>
      </c>
      <c r="B22" s="444" t="s">
        <v>11</v>
      </c>
      <c r="C22" s="446">
        <f>IF(A31&gt;A22,A31):IF(A31&lt;B22,A31)</f>
        <v>126900</v>
      </c>
      <c r="D22" s="33">
        <v>28500</v>
      </c>
      <c r="E22" s="33">
        <v>35</v>
      </c>
      <c r="F22" s="33">
        <v>120000</v>
      </c>
      <c r="G22" s="34">
        <f t="shared" si="0"/>
        <v>30915</v>
      </c>
      <c r="H22" s="33">
        <v>0.35</v>
      </c>
      <c r="I22" s="33">
        <f t="shared" si="1"/>
        <v>126900</v>
      </c>
      <c r="J22" s="33">
        <v>12500</v>
      </c>
      <c r="K22" s="33">
        <f t="shared" si="2"/>
        <v>31915</v>
      </c>
    </row>
    <row r="23" spans="1:11" ht="13.5" thickBot="1">
      <c r="A23" s="356"/>
      <c r="B23" s="356"/>
      <c r="C23" s="450"/>
      <c r="D23" s="356"/>
      <c r="E23" s="356"/>
      <c r="F23" s="356"/>
      <c r="G23" s="451"/>
      <c r="H23" s="356"/>
      <c r="I23" s="356"/>
      <c r="J23" s="356"/>
      <c r="K23" s="356"/>
    </row>
    <row r="24" ht="13.5" thickBot="1">
      <c r="A24" s="30" t="s">
        <v>12</v>
      </c>
    </row>
    <row r="25" ht="12.75">
      <c r="A25" s="442">
        <v>6650</v>
      </c>
    </row>
    <row r="26" ht="12.75">
      <c r="A26" s="378">
        <v>11000</v>
      </c>
    </row>
    <row r="27" spans="1:3" ht="12.75">
      <c r="A27" s="452">
        <v>21000</v>
      </c>
      <c r="C27" s="453"/>
    </row>
    <row r="28" spans="1:3" ht="12.75">
      <c r="A28" s="378">
        <v>55382</v>
      </c>
      <c r="C28" s="453"/>
    </row>
    <row r="29" ht="12.75">
      <c r="A29" s="59">
        <v>75894</v>
      </c>
    </row>
    <row r="30" ht="12.75">
      <c r="A30" s="378">
        <v>114500</v>
      </c>
    </row>
    <row r="31" ht="13.5" thickBot="1">
      <c r="A31" s="60">
        <v>126900</v>
      </c>
    </row>
  </sheetData>
  <sheetProtection/>
  <mergeCells count="4">
    <mergeCell ref="A2:K2"/>
    <mergeCell ref="A14:B14"/>
    <mergeCell ref="C14:G14"/>
    <mergeCell ref="H14:K14"/>
  </mergeCells>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AS197"/>
  <sheetViews>
    <sheetView showGridLines="0" zoomScalePageLayoutView="0" workbookViewId="0" topLeftCell="A15">
      <selection activeCell="F189" sqref="F189"/>
    </sheetView>
  </sheetViews>
  <sheetFormatPr defaultColWidth="11.421875" defaultRowHeight="12.75"/>
  <cols>
    <col min="1" max="1" width="4.00390625" style="0" customWidth="1"/>
    <col min="2" max="2" width="22.28125" style="0" customWidth="1"/>
    <col min="3" max="3" width="13.00390625" style="0" customWidth="1"/>
    <col min="4" max="4" width="11.140625" style="0" customWidth="1"/>
    <col min="5" max="7" width="8.28125" style="0" customWidth="1"/>
    <col min="8" max="8" width="8.57421875" style="0" customWidth="1"/>
    <col min="9" max="9" width="6.7109375" style="0" customWidth="1"/>
    <col min="10" max="10" width="8.7109375" style="0" customWidth="1"/>
    <col min="11" max="11" width="7.57421875" style="0" customWidth="1"/>
    <col min="12" max="12" width="8.57421875" style="0" bestFit="1" customWidth="1"/>
    <col min="13" max="13" width="9.00390625" style="0" customWidth="1"/>
    <col min="14" max="14" width="7.140625" style="0" bestFit="1" customWidth="1"/>
    <col min="15" max="15" width="6.00390625" style="0" bestFit="1" customWidth="1"/>
    <col min="16" max="16" width="7.00390625" style="0" bestFit="1" customWidth="1"/>
    <col min="17" max="17" width="9.57421875" style="0" bestFit="1" customWidth="1"/>
    <col min="18" max="18" width="8.421875" style="0" bestFit="1" customWidth="1"/>
    <col min="19" max="19" width="8.8515625" style="0" bestFit="1" customWidth="1"/>
    <col min="25" max="25" width="21.00390625" style="0" customWidth="1"/>
    <col min="27" max="27" width="15.140625" style="0" customWidth="1"/>
    <col min="28" max="28" width="17.00390625" style="0" customWidth="1"/>
    <col min="30" max="30" width="19.00390625" style="0" customWidth="1"/>
    <col min="31" max="31" width="14.28125" style="0" customWidth="1"/>
    <col min="32" max="32" width="16.140625" style="0" customWidth="1"/>
    <col min="33" max="33" width="15.7109375" style="0" customWidth="1"/>
  </cols>
  <sheetData>
    <row r="1" spans="1:19" ht="12.75">
      <c r="A1" s="1225" t="s">
        <v>13</v>
      </c>
      <c r="B1" s="1225"/>
      <c r="C1" s="1225"/>
      <c r="D1" s="1225"/>
      <c r="E1" s="1225"/>
      <c r="F1" s="1225"/>
      <c r="G1" s="1225"/>
      <c r="H1" s="1225"/>
      <c r="I1" s="1225"/>
      <c r="J1" s="1225"/>
      <c r="K1" s="1225"/>
      <c r="L1" s="1225"/>
      <c r="M1" s="1225"/>
      <c r="N1" s="1225"/>
      <c r="O1" s="1225"/>
      <c r="P1" s="1225"/>
      <c r="Q1" s="1225"/>
      <c r="R1" s="1225"/>
      <c r="S1" s="1225"/>
    </row>
    <row r="2" spans="1:3" ht="13.5" thickBot="1">
      <c r="A2" s="161" t="s">
        <v>15</v>
      </c>
      <c r="C2" s="454">
        <f ca="1">NOW()</f>
        <v>42313.80788113426</v>
      </c>
    </row>
    <row r="3" spans="1:3" ht="12.75">
      <c r="A3" s="1221" t="s">
        <v>16</v>
      </c>
      <c r="B3" s="1221" t="s">
        <v>17</v>
      </c>
      <c r="C3" s="1221" t="s">
        <v>18</v>
      </c>
    </row>
    <row r="4" spans="1:3" ht="13.5" thickBot="1">
      <c r="A4" s="1171"/>
      <c r="B4" s="1171"/>
      <c r="C4" s="1171"/>
    </row>
    <row r="5" spans="1:3" ht="12.75">
      <c r="A5" s="469">
        <v>1</v>
      </c>
      <c r="B5" s="154" t="s">
        <v>40</v>
      </c>
      <c r="C5" s="154">
        <v>20063407152</v>
      </c>
    </row>
    <row r="6" spans="1:3" ht="12.75">
      <c r="A6" s="469">
        <v>2</v>
      </c>
      <c r="B6" s="155"/>
      <c r="C6" s="155"/>
    </row>
    <row r="7" spans="1:3" ht="12.75">
      <c r="A7" s="469">
        <v>3</v>
      </c>
      <c r="B7" s="155"/>
      <c r="C7" s="155"/>
    </row>
    <row r="8" spans="1:34" ht="12.75">
      <c r="A8" s="469">
        <v>4</v>
      </c>
      <c r="B8" s="155"/>
      <c r="C8" s="155"/>
      <c r="T8" s="22"/>
      <c r="U8" s="22"/>
      <c r="V8" s="22"/>
      <c r="W8" s="22"/>
      <c r="X8" s="22"/>
      <c r="Z8" s="161"/>
      <c r="AB8" s="351"/>
      <c r="AF8" s="161"/>
      <c r="AH8" s="351"/>
    </row>
    <row r="9" spans="1:24" ht="13.5" thickBot="1">
      <c r="A9" s="475">
        <v>5</v>
      </c>
      <c r="B9" s="476"/>
      <c r="C9" s="476"/>
      <c r="T9" s="251"/>
      <c r="U9" s="251"/>
      <c r="V9" s="251"/>
      <c r="W9" s="251"/>
      <c r="X9" s="251"/>
    </row>
    <row r="10" spans="1:24" ht="14.25" thickBot="1" thickTop="1">
      <c r="A10" s="481"/>
      <c r="B10" s="482" t="s">
        <v>49</v>
      </c>
      <c r="C10" s="482"/>
      <c r="T10" s="161"/>
      <c r="U10" s="161"/>
      <c r="V10" s="161"/>
      <c r="W10" s="161"/>
      <c r="X10" s="161"/>
    </row>
    <row r="11" spans="1:24" ht="12.7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row>
    <row r="12" spans="20:25" ht="12.75">
      <c r="T12" s="161"/>
      <c r="U12" s="161"/>
      <c r="V12" s="161"/>
      <c r="W12" s="161"/>
      <c r="X12" s="161"/>
      <c r="Y12" s="22"/>
    </row>
    <row r="13" spans="20:25" ht="12.75">
      <c r="T13" s="161"/>
      <c r="U13" s="161"/>
      <c r="V13" s="161"/>
      <c r="W13" s="161"/>
      <c r="X13" s="161"/>
      <c r="Y13" s="22"/>
    </row>
    <row r="14" spans="20:24" ht="12.75">
      <c r="T14" s="161"/>
      <c r="U14" s="161"/>
      <c r="V14" s="161"/>
      <c r="W14" s="161"/>
      <c r="X14" s="161"/>
    </row>
    <row r="15" spans="20:24" ht="12.75">
      <c r="T15" s="161"/>
      <c r="U15" s="161"/>
      <c r="V15" s="161"/>
      <c r="W15" s="161"/>
      <c r="X15" s="161"/>
    </row>
    <row r="16" spans="20:24" ht="12.75">
      <c r="T16" s="161"/>
      <c r="U16" s="161"/>
      <c r="V16" s="161"/>
      <c r="W16" s="161"/>
      <c r="X16" s="161"/>
    </row>
    <row r="17" spans="20:24" ht="12.75">
      <c r="T17" s="161"/>
      <c r="U17" s="161"/>
      <c r="V17" s="161"/>
      <c r="W17" s="161"/>
      <c r="X17" s="161"/>
    </row>
    <row r="18" spans="20:24" ht="12.75">
      <c r="T18" s="161"/>
      <c r="U18" s="161"/>
      <c r="V18" s="161"/>
      <c r="W18" s="161"/>
      <c r="X18" s="161"/>
    </row>
    <row r="20" spans="26:32" ht="12.75">
      <c r="Z20" s="161" t="s">
        <v>97</v>
      </c>
      <c r="AF20" s="161" t="s">
        <v>97</v>
      </c>
    </row>
    <row r="21" spans="26:35" ht="12.75">
      <c r="Z21" s="361" t="s">
        <v>38</v>
      </c>
      <c r="AA21" s="361" t="s">
        <v>735</v>
      </c>
      <c r="AB21" s="361" t="s">
        <v>39</v>
      </c>
      <c r="AC21" s="361" t="s">
        <v>1169</v>
      </c>
      <c r="AF21" s="361" t="s">
        <v>38</v>
      </c>
      <c r="AG21" s="361" t="s">
        <v>735</v>
      </c>
      <c r="AH21" s="361" t="s">
        <v>39</v>
      </c>
      <c r="AI21" s="361" t="s">
        <v>1169</v>
      </c>
    </row>
    <row r="22" spans="26:35" ht="12.75">
      <c r="Z22" s="468" t="s">
        <v>41</v>
      </c>
      <c r="AA22" s="468"/>
      <c r="AB22" s="34"/>
      <c r="AC22" s="34"/>
      <c r="AF22" s="468" t="s">
        <v>41</v>
      </c>
      <c r="AG22" s="468"/>
      <c r="AH22" s="34"/>
      <c r="AI22" s="34"/>
    </row>
    <row r="23" spans="26:35" ht="12.75">
      <c r="Z23" s="468" t="s">
        <v>20</v>
      </c>
      <c r="AA23" s="468"/>
      <c r="AB23" s="34"/>
      <c r="AC23" s="34"/>
      <c r="AF23" s="468" t="s">
        <v>20</v>
      </c>
      <c r="AG23" s="468"/>
      <c r="AH23" s="34"/>
      <c r="AI23" s="34"/>
    </row>
    <row r="24" spans="26:33" ht="13.5" thickBot="1">
      <c r="Z24" s="161"/>
      <c r="AA24" s="161"/>
      <c r="AF24" s="161"/>
      <c r="AG24" s="161"/>
    </row>
    <row r="25" spans="4:33" ht="13.5" thickBot="1">
      <c r="D25" s="1227" t="s">
        <v>19</v>
      </c>
      <c r="E25" s="1227" t="s">
        <v>20</v>
      </c>
      <c r="F25" s="1227" t="s">
        <v>21</v>
      </c>
      <c r="G25" s="1228" t="s">
        <v>22</v>
      </c>
      <c r="H25" s="1229"/>
      <c r="I25" s="1221" t="s">
        <v>23</v>
      </c>
      <c r="J25" s="1221" t="s">
        <v>24</v>
      </c>
      <c r="T25" s="161"/>
      <c r="U25" s="161"/>
      <c r="V25" s="161"/>
      <c r="W25" s="161"/>
      <c r="X25" s="161"/>
      <c r="Z25" s="161"/>
      <c r="AA25" s="161"/>
      <c r="AF25" s="161"/>
      <c r="AG25" s="161"/>
    </row>
    <row r="26" spans="4:24" ht="13.5" thickBot="1">
      <c r="D26" s="1122"/>
      <c r="E26" s="1122"/>
      <c r="F26" s="1122"/>
      <c r="G26" s="456" t="s">
        <v>36</v>
      </c>
      <c r="H26" s="457" t="s">
        <v>37</v>
      </c>
      <c r="I26" s="1171"/>
      <c r="J26" s="1171"/>
      <c r="T26" s="161"/>
      <c r="U26" s="161"/>
      <c r="V26" s="161"/>
      <c r="W26" s="161"/>
      <c r="X26" s="161"/>
    </row>
    <row r="27" spans="4:24" ht="12.75">
      <c r="D27" s="461">
        <v>35947</v>
      </c>
      <c r="E27" s="462">
        <f>INT(($C$2-D27)/365)</f>
        <v>17</v>
      </c>
      <c r="F27" s="154">
        <v>500</v>
      </c>
      <c r="G27" s="154">
        <f>F27*E27/100</f>
        <v>85</v>
      </c>
      <c r="H27" s="154">
        <f>F27*5%</f>
        <v>25</v>
      </c>
      <c r="I27" s="154"/>
      <c r="J27" s="304">
        <f>F27+G27+H27+I27</f>
        <v>610</v>
      </c>
      <c r="T27" s="161"/>
      <c r="U27" s="161"/>
      <c r="V27" s="161"/>
      <c r="W27" s="161"/>
      <c r="X27" s="161"/>
    </row>
    <row r="28" spans="4:32" ht="13.5" thickBot="1">
      <c r="D28" s="470"/>
      <c r="E28" s="462"/>
      <c r="F28" s="155"/>
      <c r="G28" s="154"/>
      <c r="H28" s="154"/>
      <c r="I28" s="154"/>
      <c r="J28" s="304"/>
      <c r="T28" s="161"/>
      <c r="U28" s="161"/>
      <c r="V28" s="161"/>
      <c r="W28" s="161"/>
      <c r="X28" s="161"/>
      <c r="Z28" s="161" t="s">
        <v>68</v>
      </c>
      <c r="AF28" s="161" t="s">
        <v>68</v>
      </c>
    </row>
    <row r="29" spans="4:34" ht="13.5" thickBot="1">
      <c r="D29" s="470"/>
      <c r="E29" s="462"/>
      <c r="F29" s="155"/>
      <c r="G29" s="154"/>
      <c r="H29" s="304"/>
      <c r="I29" s="154"/>
      <c r="J29" s="304"/>
      <c r="T29" s="161"/>
      <c r="U29" s="161"/>
      <c r="V29" s="161"/>
      <c r="W29" s="161"/>
      <c r="X29" s="161"/>
      <c r="Z29" s="38" t="s">
        <v>718</v>
      </c>
      <c r="AA29" s="126" t="s">
        <v>735</v>
      </c>
      <c r="AB29" s="128" t="s">
        <v>74</v>
      </c>
      <c r="AF29" s="38" t="s">
        <v>718</v>
      </c>
      <c r="AG29" s="126" t="s">
        <v>735</v>
      </c>
      <c r="AH29" s="128" t="s">
        <v>74</v>
      </c>
    </row>
    <row r="30" spans="4:34" ht="12.75">
      <c r="D30" s="470"/>
      <c r="E30" s="462"/>
      <c r="F30" s="155"/>
      <c r="G30" s="304"/>
      <c r="H30" s="304"/>
      <c r="I30" s="154"/>
      <c r="J30" s="304"/>
      <c r="Z30" s="465" t="s">
        <v>48</v>
      </c>
      <c r="AA30" s="512">
        <v>0.0446</v>
      </c>
      <c r="AB30" s="32"/>
      <c r="AF30" s="465" t="s">
        <v>48</v>
      </c>
      <c r="AG30" s="512">
        <v>0.0446</v>
      </c>
      <c r="AH30" s="32"/>
    </row>
    <row r="31" spans="4:34" ht="13.5" thickBot="1">
      <c r="D31" s="477"/>
      <c r="E31" s="478"/>
      <c r="F31" s="476"/>
      <c r="G31" s="479"/>
      <c r="H31" s="479"/>
      <c r="I31" s="476"/>
      <c r="J31" s="479"/>
      <c r="Z31" s="468" t="s">
        <v>26</v>
      </c>
      <c r="AA31" s="487">
        <v>0.0034</v>
      </c>
      <c r="AB31" s="34"/>
      <c r="AF31" s="468" t="s">
        <v>26</v>
      </c>
      <c r="AG31" s="487">
        <v>0.0034</v>
      </c>
      <c r="AH31" s="32"/>
    </row>
    <row r="32" spans="4:34" ht="14.25" thickBot="1" thickTop="1">
      <c r="D32" s="483"/>
      <c r="E32" s="484"/>
      <c r="F32" s="482"/>
      <c r="G32" s="485"/>
      <c r="H32" s="482"/>
      <c r="I32" s="482"/>
      <c r="J32" s="485"/>
      <c r="Z32" s="155" t="s">
        <v>84</v>
      </c>
      <c r="AA32" s="323">
        <v>0.03</v>
      </c>
      <c r="AB32" s="34"/>
      <c r="AF32" s="155" t="s">
        <v>84</v>
      </c>
      <c r="AG32" s="323">
        <v>0.03</v>
      </c>
      <c r="AH32" s="32"/>
    </row>
    <row r="33" spans="26:34" ht="12.75">
      <c r="Z33" s="155" t="s">
        <v>87</v>
      </c>
      <c r="AA33" s="487">
        <v>0.006</v>
      </c>
      <c r="AB33" s="34"/>
      <c r="AF33" s="155" t="s">
        <v>87</v>
      </c>
      <c r="AG33" s="487">
        <v>0.006</v>
      </c>
      <c r="AH33" s="32"/>
    </row>
    <row r="34" spans="26:34" ht="12.75">
      <c r="Z34" s="155" t="s">
        <v>50</v>
      </c>
      <c r="AA34" s="323">
        <v>0.05</v>
      </c>
      <c r="AB34" s="34"/>
      <c r="AF34" s="155" t="s">
        <v>50</v>
      </c>
      <c r="AG34" s="323">
        <v>0.05</v>
      </c>
      <c r="AH34" s="32"/>
    </row>
    <row r="35" spans="26:34" ht="12.75">
      <c r="Z35" s="155" t="s">
        <v>89</v>
      </c>
      <c r="AA35" s="323">
        <v>0.03</v>
      </c>
      <c r="AB35" s="34"/>
      <c r="AF35" s="155" t="s">
        <v>89</v>
      </c>
      <c r="AG35" s="323">
        <v>0.03</v>
      </c>
      <c r="AH35" s="32"/>
    </row>
    <row r="36" spans="26:34" ht="12.75">
      <c r="Z36" s="155" t="s">
        <v>92</v>
      </c>
      <c r="AA36" s="487">
        <v>0.0482</v>
      </c>
      <c r="AB36" s="34"/>
      <c r="AF36" s="155" t="s">
        <v>92</v>
      </c>
      <c r="AG36" s="487">
        <v>0.0482</v>
      </c>
      <c r="AH36" s="32"/>
    </row>
    <row r="37" spans="26:34" ht="12.75">
      <c r="Z37" s="155" t="s">
        <v>94</v>
      </c>
      <c r="AA37" s="33"/>
      <c r="AB37" s="34"/>
      <c r="AF37" s="33" t="s">
        <v>94</v>
      </c>
      <c r="AG37" s="33"/>
      <c r="AH37" s="32"/>
    </row>
    <row r="38" spans="28:34" ht="12.75">
      <c r="AB38" s="351"/>
      <c r="AF38" t="s">
        <v>784</v>
      </c>
      <c r="AH38" s="351"/>
    </row>
    <row r="41" spans="26:34" ht="12.75">
      <c r="Z41" s="161" t="s">
        <v>98</v>
      </c>
      <c r="AB41" s="351"/>
      <c r="AF41" s="161" t="s">
        <v>98</v>
      </c>
      <c r="AH41" s="351" t="e">
        <f>#REF!+AH38</f>
        <v>#REF!</v>
      </c>
    </row>
    <row r="44" ht="12.75">
      <c r="AN44" t="s">
        <v>99</v>
      </c>
    </row>
    <row r="45" ht="12.75">
      <c r="AN45" t="s">
        <v>100</v>
      </c>
    </row>
    <row r="46" spans="43:44" ht="12.75">
      <c r="AQ46" s="33" t="s">
        <v>58</v>
      </c>
      <c r="AR46" s="131" t="s">
        <v>59</v>
      </c>
    </row>
    <row r="47" spans="40:45" ht="12.75">
      <c r="AN47" s="33" t="s">
        <v>101</v>
      </c>
      <c r="AO47" s="33" t="s">
        <v>17</v>
      </c>
      <c r="AP47" s="33" t="s">
        <v>102</v>
      </c>
      <c r="AQ47" s="33">
        <f>16.63+0.6</f>
        <v>17.23</v>
      </c>
      <c r="AR47" s="521">
        <v>0.0359</v>
      </c>
      <c r="AS47" s="33" t="s">
        <v>784</v>
      </c>
    </row>
    <row r="48" spans="40:45" ht="12.75">
      <c r="AN48" s="522">
        <v>36951</v>
      </c>
      <c r="AO48" s="155" t="s">
        <v>40</v>
      </c>
      <c r="AP48" s="33">
        <f>1*J167</f>
        <v>610</v>
      </c>
      <c r="AQ48" s="33">
        <f>AQ47*1</f>
        <v>17.23</v>
      </c>
      <c r="AR48" s="34">
        <f>AP48*$AR$47</f>
        <v>21.899</v>
      </c>
      <c r="AS48" s="34">
        <f>AQ48+AR48</f>
        <v>39.129000000000005</v>
      </c>
    </row>
    <row r="49" spans="40:45" ht="12.75">
      <c r="AN49" s="522">
        <v>36951</v>
      </c>
      <c r="AO49" s="155" t="s">
        <v>42</v>
      </c>
      <c r="AP49" s="33">
        <f>1*J168</f>
        <v>685.11</v>
      </c>
      <c r="AQ49" s="33">
        <f>AQ48*1</f>
        <v>17.23</v>
      </c>
      <c r="AR49" s="34">
        <f>AP49*$AR$47</f>
        <v>24.595449000000002</v>
      </c>
      <c r="AS49" s="34">
        <f>AQ49+AR49</f>
        <v>41.825449000000006</v>
      </c>
    </row>
    <row r="50" spans="40:45" ht="12.75">
      <c r="AN50" s="522">
        <v>36951</v>
      </c>
      <c r="AO50" s="155" t="s">
        <v>43</v>
      </c>
      <c r="AP50" s="34">
        <f>1*J169</f>
        <v>900</v>
      </c>
      <c r="AQ50" s="33">
        <f>AQ49*1</f>
        <v>17.23</v>
      </c>
      <c r="AR50" s="34">
        <f>AP50*$AR$47</f>
        <v>32.31</v>
      </c>
      <c r="AS50" s="34">
        <f>AQ50+AR50</f>
        <v>49.540000000000006</v>
      </c>
    </row>
    <row r="51" spans="40:45" ht="12.75">
      <c r="AN51" s="522">
        <v>36951</v>
      </c>
      <c r="AO51" s="155" t="s">
        <v>45</v>
      </c>
      <c r="AP51" s="34">
        <f>1*J170</f>
        <v>976</v>
      </c>
      <c r="AQ51" s="33">
        <f>AQ50*1</f>
        <v>17.23</v>
      </c>
      <c r="AR51" s="34">
        <f>AP51*$AR$47</f>
        <v>35.0384</v>
      </c>
      <c r="AS51" s="34">
        <f>AQ51+AR51</f>
        <v>52.2684</v>
      </c>
    </row>
    <row r="52" spans="40:45" ht="13.5" thickBot="1">
      <c r="AN52" s="523">
        <v>36951</v>
      </c>
      <c r="AO52" s="476" t="s">
        <v>47</v>
      </c>
      <c r="AP52" s="524">
        <f>1*J171</f>
        <v>907.5</v>
      </c>
      <c r="AQ52" s="525">
        <f>AQ51*1</f>
        <v>17.23</v>
      </c>
      <c r="AR52" s="524">
        <f>AP52*$AR$47</f>
        <v>32.57925</v>
      </c>
      <c r="AS52" s="524">
        <f>AQ52+AR52</f>
        <v>49.809250000000006</v>
      </c>
    </row>
    <row r="53" spans="40:45" ht="13.5" thickTop="1">
      <c r="AN53" s="526"/>
      <c r="AO53" s="31"/>
      <c r="AP53" s="31"/>
      <c r="AQ53" s="31"/>
      <c r="AR53" s="32"/>
      <c r="AS53" s="32">
        <f>SUM(AS48:AS52)</f>
        <v>232.57209900000004</v>
      </c>
    </row>
    <row r="54" spans="40:45" ht="12.75">
      <c r="AN54" s="33"/>
      <c r="AO54" s="33"/>
      <c r="AP54" s="33"/>
      <c r="AQ54" s="33"/>
      <c r="AR54" s="34"/>
      <c r="AS54" s="34"/>
    </row>
    <row r="55" spans="44:45" ht="12.75">
      <c r="AR55" s="351"/>
      <c r="AS55" s="351"/>
    </row>
    <row r="57" ht="12.75">
      <c r="AP57" s="527"/>
    </row>
    <row r="58" ht="12.75">
      <c r="AP58" s="527"/>
    </row>
    <row r="59" ht="12.75">
      <c r="AP59" s="527"/>
    </row>
    <row r="60" ht="13.5" thickBot="1"/>
    <row r="61" spans="11:42" ht="13.5" thickBot="1">
      <c r="K61" s="1222" t="s">
        <v>103</v>
      </c>
      <c r="L61" s="1223"/>
      <c r="M61" s="1223"/>
      <c r="N61" s="1223"/>
      <c r="O61" s="1223"/>
      <c r="P61" s="1224"/>
      <c r="AP61" s="20"/>
    </row>
    <row r="62" spans="11:16" ht="12.75">
      <c r="K62" s="385" t="s">
        <v>25</v>
      </c>
      <c r="L62" s="455" t="s">
        <v>26</v>
      </c>
      <c r="M62" s="385" t="s">
        <v>27</v>
      </c>
      <c r="N62" s="455" t="s">
        <v>28</v>
      </c>
      <c r="O62" s="385" t="s">
        <v>29</v>
      </c>
      <c r="P62" s="385" t="s">
        <v>30</v>
      </c>
    </row>
    <row r="63" spans="11:16" ht="13.5" thickBot="1">
      <c r="K63" s="458">
        <v>0.11</v>
      </c>
      <c r="L63" s="458">
        <v>0.03</v>
      </c>
      <c r="M63" s="459">
        <v>0.027</v>
      </c>
      <c r="N63" s="459">
        <v>0.003</v>
      </c>
      <c r="O63" s="459">
        <v>0.015</v>
      </c>
      <c r="P63" s="459">
        <f>SUM(K63:O63)</f>
        <v>0.185</v>
      </c>
    </row>
    <row r="64" spans="11:16" ht="12.75">
      <c r="K64" s="304">
        <f>$J27*$K$63</f>
        <v>67.1</v>
      </c>
      <c r="L64" s="304">
        <f>$J27*$M$166</f>
        <v>18.3</v>
      </c>
      <c r="M64" s="304">
        <f>$J27*$N$166</f>
        <v>16.47</v>
      </c>
      <c r="N64" s="304">
        <f>$J27*$O$166</f>
        <v>1.83</v>
      </c>
      <c r="O64" s="304">
        <f>$J27*$P$166</f>
        <v>9.15</v>
      </c>
      <c r="P64" s="304">
        <f>SUM(K64:O64)</f>
        <v>112.85</v>
      </c>
    </row>
    <row r="65" spans="11:16" ht="12.75">
      <c r="K65" s="304"/>
      <c r="L65" s="304"/>
      <c r="M65" s="304"/>
      <c r="N65" s="304"/>
      <c r="O65" s="304"/>
      <c r="P65" s="304"/>
    </row>
    <row r="66" spans="11:16" ht="12.75">
      <c r="K66" s="304"/>
      <c r="L66" s="304"/>
      <c r="M66" s="304"/>
      <c r="N66" s="304"/>
      <c r="O66" s="304"/>
      <c r="P66" s="304"/>
    </row>
    <row r="67" spans="11:16" ht="12.75">
      <c r="K67" s="304"/>
      <c r="L67" s="304"/>
      <c r="M67" s="304"/>
      <c r="N67" s="304"/>
      <c r="O67" s="304"/>
      <c r="P67" s="304"/>
    </row>
    <row r="68" spans="11:16" ht="13.5" thickBot="1">
      <c r="K68" s="479"/>
      <c r="L68" s="479"/>
      <c r="M68" s="479"/>
      <c r="N68" s="479"/>
      <c r="O68" s="479"/>
      <c r="P68" s="479"/>
    </row>
    <row r="69" spans="11:16" ht="14.25" thickBot="1" thickTop="1">
      <c r="K69" s="482"/>
      <c r="L69" s="485"/>
      <c r="M69" s="485"/>
      <c r="N69" s="485"/>
      <c r="O69" s="485"/>
      <c r="P69" s="482"/>
    </row>
    <row r="70" spans="11:16" ht="12.75">
      <c r="K70" s="304"/>
      <c r="L70" s="304"/>
      <c r="M70" s="304"/>
      <c r="N70" s="304"/>
      <c r="O70" s="304"/>
      <c r="P70" s="304"/>
    </row>
    <row r="71" spans="11:16" ht="13.5" thickBot="1">
      <c r="K71" s="479"/>
      <c r="L71" s="479"/>
      <c r="M71" s="479"/>
      <c r="N71" s="479"/>
      <c r="O71" s="479"/>
      <c r="P71" s="479"/>
    </row>
    <row r="72" spans="11:16" ht="14.25" thickBot="1" thickTop="1">
      <c r="K72" s="485">
        <f aca="true" t="shared" si="0" ref="K72:P72">SUM(K70:K71)</f>
        <v>0</v>
      </c>
      <c r="L72" s="485">
        <f t="shared" si="0"/>
        <v>0</v>
      </c>
      <c r="M72" s="485">
        <f t="shared" si="0"/>
        <v>0</v>
      </c>
      <c r="N72" s="485">
        <f t="shared" si="0"/>
        <v>0</v>
      </c>
      <c r="O72" s="485">
        <f t="shared" si="0"/>
        <v>0</v>
      </c>
      <c r="P72" s="485">
        <f t="shared" si="0"/>
        <v>0</v>
      </c>
    </row>
    <row r="76" spans="6:7" ht="12.75">
      <c r="F76" s="351"/>
      <c r="G76" s="351"/>
    </row>
    <row r="77" ht="12.75">
      <c r="F77" s="351"/>
    </row>
    <row r="78" ht="12.75">
      <c r="F78" s="351"/>
    </row>
    <row r="79" ht="12.75">
      <c r="F79" s="351"/>
    </row>
    <row r="80" ht="12.75">
      <c r="F80" s="351"/>
    </row>
    <row r="81" ht="12.75">
      <c r="F81" s="351"/>
    </row>
    <row r="82" ht="12.75">
      <c r="F82" s="351"/>
    </row>
    <row r="93" ht="12.75">
      <c r="F93">
        <f>560-103.6</f>
        <v>456.4</v>
      </c>
    </row>
    <row r="96" ht="13.5" thickBot="1"/>
    <row r="97" spans="17:19" ht="12.75">
      <c r="Q97" s="383" t="s">
        <v>31</v>
      </c>
      <c r="R97" s="455" t="s">
        <v>32</v>
      </c>
      <c r="S97" s="384" t="s">
        <v>33</v>
      </c>
    </row>
    <row r="98" spans="17:19" ht="13.5" thickBot="1">
      <c r="Q98" s="375"/>
      <c r="R98" s="528"/>
      <c r="S98" s="56"/>
    </row>
    <row r="99" spans="17:19" ht="12.75">
      <c r="Q99" s="304">
        <f>J27-P64</f>
        <v>497.15</v>
      </c>
      <c r="R99" s="154">
        <v>40</v>
      </c>
      <c r="S99" s="463">
        <f>Q99+R99</f>
        <v>537.15</v>
      </c>
    </row>
    <row r="100" spans="17:19" ht="12.75">
      <c r="Q100" s="304"/>
      <c r="R100" s="155"/>
      <c r="S100" s="463"/>
    </row>
    <row r="101" spans="17:19" ht="12.75">
      <c r="Q101" s="304"/>
      <c r="R101" s="155"/>
      <c r="S101" s="463"/>
    </row>
    <row r="102" spans="17:19" ht="12.75">
      <c r="Q102" s="304"/>
      <c r="R102" s="155"/>
      <c r="S102" s="463"/>
    </row>
    <row r="103" spans="17:19" ht="13.5" thickBot="1">
      <c r="Q103" s="479"/>
      <c r="R103" s="476"/>
      <c r="S103" s="480"/>
    </row>
    <row r="104" spans="17:19" ht="14.25" thickBot="1" thickTop="1">
      <c r="Q104" s="482"/>
      <c r="R104" s="482"/>
      <c r="S104" s="529"/>
    </row>
    <row r="105" spans="17:19" ht="12.75">
      <c r="Q105" s="154"/>
      <c r="R105" s="304"/>
      <c r="S105" s="463"/>
    </row>
    <row r="106" spans="17:19" ht="13.5" thickBot="1">
      <c r="Q106" s="476"/>
      <c r="R106" s="479"/>
      <c r="S106" s="480"/>
    </row>
    <row r="107" spans="17:19" ht="14.25" thickBot="1" thickTop="1">
      <c r="Q107" s="485">
        <f>SUM(Q105:Q106)</f>
        <v>0</v>
      </c>
      <c r="R107" s="485">
        <f>SUM(R105:R106)</f>
        <v>0</v>
      </c>
      <c r="S107" s="486">
        <f>SUM(S105:S106)</f>
        <v>0</v>
      </c>
    </row>
    <row r="128" spans="1:19" ht="16.5" thickBot="1">
      <c r="A128" s="1226" t="s">
        <v>51</v>
      </c>
      <c r="B128" s="1226"/>
      <c r="C128" s="1226"/>
      <c r="D128" s="1226"/>
      <c r="E128" s="1226"/>
      <c r="F128" s="1226"/>
      <c r="G128" s="1226"/>
      <c r="H128" s="1226"/>
      <c r="I128" s="1226"/>
      <c r="J128" s="1226"/>
      <c r="K128" s="1226"/>
      <c r="L128" s="1226"/>
      <c r="M128" s="1226"/>
      <c r="N128" s="1226"/>
      <c r="O128" s="1226"/>
      <c r="P128" s="1226"/>
      <c r="Q128" s="1226"/>
      <c r="R128" s="1226"/>
      <c r="S128" s="1226"/>
    </row>
    <row r="129" spans="1:10" ht="23.25" thickBot="1">
      <c r="A129" s="383" t="s">
        <v>16</v>
      </c>
      <c r="B129" s="383" t="s">
        <v>17</v>
      </c>
      <c r="C129" s="383" t="s">
        <v>18</v>
      </c>
      <c r="D129" s="384" t="s">
        <v>19</v>
      </c>
      <c r="E129" s="384" t="s">
        <v>20</v>
      </c>
      <c r="F129" s="384" t="s">
        <v>21</v>
      </c>
      <c r="G129" s="1219" t="s">
        <v>22</v>
      </c>
      <c r="H129" s="1220"/>
      <c r="I129" s="383" t="s">
        <v>23</v>
      </c>
      <c r="J129" s="383" t="s">
        <v>24</v>
      </c>
    </row>
    <row r="130" spans="1:10" ht="13.5" thickBot="1">
      <c r="A130" s="375"/>
      <c r="B130" s="375"/>
      <c r="C130" s="375"/>
      <c r="D130" s="56"/>
      <c r="E130" s="56"/>
      <c r="F130" s="56"/>
      <c r="G130" s="490" t="s">
        <v>36</v>
      </c>
      <c r="H130" s="457" t="s">
        <v>37</v>
      </c>
      <c r="I130" s="375"/>
      <c r="J130" s="375"/>
    </row>
    <row r="131" spans="1:10" ht="12.75">
      <c r="A131" s="469">
        <v>1</v>
      </c>
      <c r="B131" s="154" t="s">
        <v>40</v>
      </c>
      <c r="C131" s="154">
        <v>20063407152</v>
      </c>
      <c r="D131" s="461">
        <v>35961</v>
      </c>
      <c r="E131" s="462">
        <f>INT((C2-D131)/365)</f>
        <v>17</v>
      </c>
      <c r="F131" s="155">
        <v>500</v>
      </c>
      <c r="G131" s="154">
        <f>F131*E131/100</f>
        <v>85</v>
      </c>
      <c r="H131" s="154">
        <f>F131*5%</f>
        <v>25</v>
      </c>
      <c r="I131" s="154"/>
      <c r="J131" s="304">
        <f>F131+G131+H131+I131</f>
        <v>610</v>
      </c>
    </row>
    <row r="132" spans="1:10" ht="12.75">
      <c r="A132" s="469">
        <v>2</v>
      </c>
      <c r="B132" s="155"/>
      <c r="C132" s="155"/>
      <c r="D132" s="470"/>
      <c r="E132" s="462"/>
      <c r="F132" s="155"/>
      <c r="G132" s="154"/>
      <c r="H132" s="154"/>
      <c r="I132" s="154"/>
      <c r="J132" s="304"/>
    </row>
    <row r="133" spans="1:10" ht="12.75">
      <c r="A133" s="469">
        <v>3</v>
      </c>
      <c r="B133" s="155"/>
      <c r="C133" s="155"/>
      <c r="D133" s="470"/>
      <c r="E133" s="462"/>
      <c r="F133" s="155"/>
      <c r="G133" s="154"/>
      <c r="H133" s="154"/>
      <c r="I133" s="154"/>
      <c r="J133" s="304"/>
    </row>
    <row r="134" spans="1:10" ht="12.75">
      <c r="A134" s="469">
        <v>4</v>
      </c>
      <c r="B134" s="155"/>
      <c r="C134" s="155"/>
      <c r="D134" s="470"/>
      <c r="E134" s="462"/>
      <c r="F134" s="155"/>
      <c r="G134" s="304"/>
      <c r="H134" s="304"/>
      <c r="I134" s="154"/>
      <c r="J134" s="304"/>
    </row>
    <row r="135" spans="1:10" ht="13.5" thickBot="1">
      <c r="A135" s="475">
        <v>5</v>
      </c>
      <c r="B135" s="476"/>
      <c r="C135" s="476"/>
      <c r="D135" s="477"/>
      <c r="E135" s="478"/>
      <c r="F135" s="476"/>
      <c r="G135" s="479"/>
      <c r="H135" s="479"/>
      <c r="I135" s="476"/>
      <c r="J135" s="479"/>
    </row>
    <row r="136" spans="1:10" ht="14.25" thickBot="1" thickTop="1">
      <c r="A136" s="481"/>
      <c r="B136" s="482" t="s">
        <v>49</v>
      </c>
      <c r="C136" s="482"/>
      <c r="D136" s="483"/>
      <c r="E136" s="482"/>
      <c r="F136" s="482">
        <f>SUM(F131:F135)</f>
        <v>500</v>
      </c>
      <c r="G136" s="485">
        <f>SUM(G131:G135)</f>
        <v>85</v>
      </c>
      <c r="H136" s="485">
        <f>SUM(H131:H135)</f>
        <v>25</v>
      </c>
      <c r="I136" s="482">
        <f>SUM(I131:I135)</f>
        <v>0</v>
      </c>
      <c r="J136" s="485">
        <f>SUM(J131:J135)</f>
        <v>610</v>
      </c>
    </row>
    <row r="137" spans="1:17" ht="12.75">
      <c r="A137" s="161"/>
      <c r="B137" s="161"/>
      <c r="C137" s="161"/>
      <c r="D137" s="161"/>
      <c r="E137" s="161"/>
      <c r="F137" s="161"/>
      <c r="G137" s="161"/>
      <c r="H137" s="161"/>
      <c r="I137" s="161"/>
      <c r="J137" s="311"/>
      <c r="K137" s="311"/>
      <c r="L137" s="311"/>
      <c r="M137" s="311"/>
      <c r="N137" s="311"/>
      <c r="O137" s="311"/>
      <c r="P137" s="311"/>
      <c r="Q137" s="311"/>
    </row>
    <row r="138" ht="13.5" thickBot="1">
      <c r="R138" t="s">
        <v>52</v>
      </c>
    </row>
    <row r="139" spans="11:20" ht="23.25" thickBot="1">
      <c r="K139" s="385" t="s">
        <v>53</v>
      </c>
      <c r="L139" s="455" t="s">
        <v>54</v>
      </c>
      <c r="M139" s="385" t="s">
        <v>55</v>
      </c>
      <c r="N139" s="385" t="s">
        <v>156</v>
      </c>
      <c r="O139" s="385" t="s">
        <v>56</v>
      </c>
      <c r="P139" s="659" t="s">
        <v>28</v>
      </c>
      <c r="Q139" s="488" t="s">
        <v>57</v>
      </c>
      <c r="R139" s="489" t="s">
        <v>58</v>
      </c>
      <c r="S139" s="489" t="s">
        <v>59</v>
      </c>
      <c r="T139" s="386" t="s">
        <v>60</v>
      </c>
    </row>
    <row r="140" spans="11:20" ht="13.5" thickBot="1">
      <c r="K140" s="459">
        <v>0.1017</v>
      </c>
      <c r="L140" s="459">
        <v>0.015</v>
      </c>
      <c r="M140" s="459">
        <v>0.0444</v>
      </c>
      <c r="N140" s="459">
        <v>0.015</v>
      </c>
      <c r="O140" s="458">
        <v>0.054</v>
      </c>
      <c r="P140" s="648">
        <v>0.006</v>
      </c>
      <c r="Q140" s="491">
        <v>0.03</v>
      </c>
      <c r="R140" s="492">
        <f>1*AQ47</f>
        <v>17.23</v>
      </c>
      <c r="S140" s="493">
        <f>1*AR47</f>
        <v>0.0359</v>
      </c>
      <c r="T140" s="494" t="s">
        <v>62</v>
      </c>
    </row>
    <row r="141" spans="11:20" ht="12.75">
      <c r="K141" s="304">
        <f>$J131*$K$140</f>
        <v>62.037</v>
      </c>
      <c r="L141" s="304">
        <f>$J131*$L140</f>
        <v>9.15</v>
      </c>
      <c r="M141" s="304">
        <f>$J131*$M140</f>
        <v>27.084</v>
      </c>
      <c r="N141" s="304">
        <f>$J131*$N140</f>
        <v>9.15</v>
      </c>
      <c r="O141" s="304">
        <f>$J131*$O140</f>
        <v>32.94</v>
      </c>
      <c r="P141" s="304">
        <f>$J131*$P140</f>
        <v>3.66</v>
      </c>
      <c r="Q141" s="304">
        <f>$J131*$Q140</f>
        <v>18.3</v>
      </c>
      <c r="R141" s="154">
        <f>1*R140</f>
        <v>17.23</v>
      </c>
      <c r="S141" s="304">
        <f>$J131*$S$140</f>
        <v>21.899</v>
      </c>
      <c r="T141" s="463">
        <f>SUM(K141:S141)</f>
        <v>201.45</v>
      </c>
    </row>
    <row r="142" spans="11:20" ht="12.75">
      <c r="K142" s="304"/>
      <c r="L142" s="304"/>
      <c r="M142" s="304"/>
      <c r="N142" s="304"/>
      <c r="O142" s="304"/>
      <c r="P142" s="304"/>
      <c r="Q142" s="304"/>
      <c r="R142" s="154"/>
      <c r="S142" s="304"/>
      <c r="T142" s="463"/>
    </row>
    <row r="143" spans="11:20" ht="12.75">
      <c r="K143" s="304"/>
      <c r="L143" s="304"/>
      <c r="M143" s="304"/>
      <c r="N143" s="304"/>
      <c r="O143" s="304"/>
      <c r="P143" s="304"/>
      <c r="Q143" s="304"/>
      <c r="R143" s="154"/>
      <c r="S143" s="304"/>
      <c r="T143" s="463"/>
    </row>
    <row r="144" spans="11:20" ht="12.75">
      <c r="K144" s="304"/>
      <c r="L144" s="304"/>
      <c r="M144" s="304"/>
      <c r="N144" s="304"/>
      <c r="O144" s="304"/>
      <c r="P144" s="304"/>
      <c r="Q144" s="304"/>
      <c r="R144" s="154"/>
      <c r="S144" s="304"/>
      <c r="T144" s="463"/>
    </row>
    <row r="145" spans="11:20" ht="13.5" thickBot="1">
      <c r="K145" s="479"/>
      <c r="L145" s="479"/>
      <c r="M145" s="479"/>
      <c r="N145" s="479"/>
      <c r="O145" s="479"/>
      <c r="P145" s="479"/>
      <c r="Q145" s="479"/>
      <c r="R145" s="476"/>
      <c r="S145" s="479"/>
      <c r="T145" s="480"/>
    </row>
    <row r="146" spans="11:20" ht="14.25" thickBot="1" thickTop="1">
      <c r="K146" s="485">
        <f aca="true" t="shared" si="1" ref="K146:P146">SUM(K141:K145)</f>
        <v>62.037</v>
      </c>
      <c r="L146" s="485">
        <f t="shared" si="1"/>
        <v>9.15</v>
      </c>
      <c r="M146" s="485">
        <f t="shared" si="1"/>
        <v>27.084</v>
      </c>
      <c r="N146" s="485">
        <f t="shared" si="1"/>
        <v>9.15</v>
      </c>
      <c r="O146" s="485">
        <f t="shared" si="1"/>
        <v>32.94</v>
      </c>
      <c r="P146" s="485">
        <f t="shared" si="1"/>
        <v>3.66</v>
      </c>
      <c r="Q146" s="485">
        <f>SUM(Q141:Q145)</f>
        <v>18.3</v>
      </c>
      <c r="R146" s="485">
        <f>SUM(R141:R145)</f>
        <v>17.23</v>
      </c>
      <c r="S146" s="485">
        <f>SUM(S141:S145)</f>
        <v>21.899</v>
      </c>
      <c r="T146" s="486">
        <f>SUM(T141:T145)</f>
        <v>201.45</v>
      </c>
    </row>
    <row r="163" spans="1:41" ht="12.75">
      <c r="A163" s="1079" t="s">
        <v>13</v>
      </c>
      <c r="B163" s="1079"/>
      <c r="C163" s="1079"/>
      <c r="D163" s="1079"/>
      <c r="E163" s="1079"/>
      <c r="F163" s="1079"/>
      <c r="G163" s="1079"/>
      <c r="H163" s="1079"/>
      <c r="I163" s="1079"/>
      <c r="J163" s="1079"/>
      <c r="K163" s="1079"/>
      <c r="L163" s="1079"/>
      <c r="M163" s="1079"/>
      <c r="N163" s="22"/>
      <c r="O163" s="22"/>
      <c r="P163" s="22"/>
      <c r="Q163" s="22"/>
      <c r="R163" s="22"/>
      <c r="S163" s="22"/>
      <c r="AO163" t="s">
        <v>14</v>
      </c>
    </row>
    <row r="164" spans="1:3" ht="13.5" thickBot="1">
      <c r="A164" s="161" t="s">
        <v>15</v>
      </c>
      <c r="C164" s="454">
        <f ca="1">NOW()</f>
        <v>42313.80788113426</v>
      </c>
    </row>
    <row r="165" spans="1:30" ht="23.25" thickBot="1">
      <c r="A165" s="383" t="s">
        <v>16</v>
      </c>
      <c r="B165" s="383" t="s">
        <v>17</v>
      </c>
      <c r="C165" s="383" t="s">
        <v>18</v>
      </c>
      <c r="D165" s="384" t="s">
        <v>19</v>
      </c>
      <c r="E165" s="384" t="s">
        <v>20</v>
      </c>
      <c r="F165" s="384" t="s">
        <v>21</v>
      </c>
      <c r="G165" s="636" t="s">
        <v>22</v>
      </c>
      <c r="H165" s="637"/>
      <c r="I165" s="383" t="s">
        <v>23</v>
      </c>
      <c r="J165" s="383" t="s">
        <v>24</v>
      </c>
      <c r="K165" s="651" t="s">
        <v>157</v>
      </c>
      <c r="L165" s="385" t="s">
        <v>25</v>
      </c>
      <c r="M165" s="455" t="s">
        <v>26</v>
      </c>
      <c r="N165" s="385" t="s">
        <v>27</v>
      </c>
      <c r="O165" s="455" t="s">
        <v>28</v>
      </c>
      <c r="P165" s="385" t="s">
        <v>29</v>
      </c>
      <c r="Q165" s="385" t="s">
        <v>30</v>
      </c>
      <c r="R165" s="383" t="s">
        <v>31</v>
      </c>
      <c r="S165" s="455" t="s">
        <v>32</v>
      </c>
      <c r="T165" s="384" t="s">
        <v>33</v>
      </c>
      <c r="U165" s="22"/>
      <c r="V165" s="22"/>
      <c r="W165" s="22"/>
      <c r="X165" s="22"/>
      <c r="Y165" s="161" t="s">
        <v>34</v>
      </c>
      <c r="AD165" s="161" t="s">
        <v>35</v>
      </c>
    </row>
    <row r="166" spans="1:33" ht="13.5" thickBot="1">
      <c r="A166" s="375"/>
      <c r="B166" s="375"/>
      <c r="C166" s="375"/>
      <c r="D166" s="56"/>
      <c r="E166" s="56"/>
      <c r="F166" s="56"/>
      <c r="G166" s="456" t="s">
        <v>36</v>
      </c>
      <c r="H166" s="457" t="s">
        <v>37</v>
      </c>
      <c r="I166" s="375"/>
      <c r="J166" s="375"/>
      <c r="K166" s="652"/>
      <c r="L166" s="458"/>
      <c r="M166" s="458">
        <v>0.03</v>
      </c>
      <c r="N166" s="459">
        <v>0.027</v>
      </c>
      <c r="O166" s="459">
        <v>0.003</v>
      </c>
      <c r="P166" s="459">
        <v>0.015</v>
      </c>
      <c r="Q166" s="459">
        <f aca="true" t="shared" si="2" ref="Q166:Q171">SUM(L166:P166)</f>
        <v>0.075</v>
      </c>
      <c r="R166" s="375"/>
      <c r="S166" s="455"/>
      <c r="T166" s="56"/>
      <c r="U166" s="251"/>
      <c r="V166" s="251"/>
      <c r="W166" s="251"/>
      <c r="X166" s="251"/>
      <c r="Y166" s="38" t="s">
        <v>38</v>
      </c>
      <c r="Z166" s="126" t="s">
        <v>735</v>
      </c>
      <c r="AA166" s="126" t="s">
        <v>39</v>
      </c>
      <c r="AB166" s="128" t="s">
        <v>1169</v>
      </c>
      <c r="AD166" s="361" t="s">
        <v>38</v>
      </c>
      <c r="AE166" s="361" t="s">
        <v>735</v>
      </c>
      <c r="AF166" s="361" t="s">
        <v>39</v>
      </c>
      <c r="AG166" s="361" t="s">
        <v>1169</v>
      </c>
    </row>
    <row r="167" spans="1:33" ht="12.75">
      <c r="A167" s="460">
        <v>1</v>
      </c>
      <c r="B167" s="154" t="s">
        <v>40</v>
      </c>
      <c r="C167" s="154">
        <v>20063407152</v>
      </c>
      <c r="D167" s="461">
        <v>35961</v>
      </c>
      <c r="E167" s="462">
        <f>INT(($C$164-D167)/365)</f>
        <v>17</v>
      </c>
      <c r="F167" s="304">
        <v>500</v>
      </c>
      <c r="G167" s="304">
        <f>F167*E167/100</f>
        <v>85</v>
      </c>
      <c r="H167" s="304">
        <f>F167*5%</f>
        <v>25</v>
      </c>
      <c r="I167" s="304"/>
      <c r="J167" s="304">
        <f>F167+G167+H167+I167</f>
        <v>610</v>
      </c>
      <c r="K167" s="31">
        <v>1</v>
      </c>
      <c r="L167" s="304">
        <f>IF(K167=1,(J167*11%),(J167*7%))</f>
        <v>67.1</v>
      </c>
      <c r="M167" s="304">
        <f>$J167*$M$166</f>
        <v>18.3</v>
      </c>
      <c r="N167" s="304">
        <f>$J167*$N$166</f>
        <v>16.47</v>
      </c>
      <c r="O167" s="304">
        <f>$J167*$O$166</f>
        <v>1.83</v>
      </c>
      <c r="P167" s="304">
        <f>$J167*$P$166</f>
        <v>9.15</v>
      </c>
      <c r="Q167" s="304">
        <f t="shared" si="2"/>
        <v>112.85</v>
      </c>
      <c r="R167" s="304">
        <f>J167-Q167</f>
        <v>497.15</v>
      </c>
      <c r="S167" s="306">
        <f>IF(J167&lt;$H$187,$H$188*R186)+S186*$H$189</f>
        <v>0</v>
      </c>
      <c r="T167" s="463">
        <f>R167+S167</f>
        <v>497.15</v>
      </c>
      <c r="U167" s="161"/>
      <c r="V167" s="161"/>
      <c r="W167" s="161"/>
      <c r="X167" s="161"/>
      <c r="Y167" s="464" t="s">
        <v>41</v>
      </c>
      <c r="Z167" s="465"/>
      <c r="AA167" s="466">
        <v>346.18</v>
      </c>
      <c r="AB167" s="467"/>
      <c r="AD167" s="468" t="s">
        <v>41</v>
      </c>
      <c r="AE167" s="468"/>
      <c r="AF167" s="34">
        <v>346.18</v>
      </c>
      <c r="AG167" s="34"/>
    </row>
    <row r="168" spans="1:33" ht="12.75">
      <c r="A168" s="469">
        <v>2</v>
      </c>
      <c r="B168" s="155" t="s">
        <v>42</v>
      </c>
      <c r="C168" s="155">
        <v>23115513079</v>
      </c>
      <c r="D168" s="470">
        <v>35431</v>
      </c>
      <c r="E168" s="462">
        <f>INT(($C$164-D168)/365)</f>
        <v>18</v>
      </c>
      <c r="F168" s="306">
        <v>557</v>
      </c>
      <c r="G168" s="304">
        <f>F168*E168/100</f>
        <v>100.26</v>
      </c>
      <c r="H168" s="304">
        <f>F168*5%</f>
        <v>27.85</v>
      </c>
      <c r="I168" s="304"/>
      <c r="J168" s="304">
        <f>F168+G168+H168+I168</f>
        <v>685.11</v>
      </c>
      <c r="K168" s="33">
        <v>2</v>
      </c>
      <c r="L168" s="304">
        <f>IF(K168=1,(J168*11%),(J168*7%))</f>
        <v>47.9577</v>
      </c>
      <c r="M168" s="304">
        <f>$J168*$M$166</f>
        <v>20.5533</v>
      </c>
      <c r="N168" s="304">
        <f>$J168*$N$166</f>
        <v>18.49797</v>
      </c>
      <c r="O168" s="304">
        <f>$J168*$O$166</f>
        <v>2.05533</v>
      </c>
      <c r="P168" s="304">
        <f>$J168*$P$166</f>
        <v>10.27665</v>
      </c>
      <c r="Q168" s="304">
        <f t="shared" si="2"/>
        <v>99.34094999999999</v>
      </c>
      <c r="R168" s="304">
        <f>J168-Q168</f>
        <v>585.76905</v>
      </c>
      <c r="S168" s="306">
        <f>IF(J168&lt;$H$187,$H$188*R187)+S187*$H$189</f>
        <v>0</v>
      </c>
      <c r="T168" s="463">
        <f>R168+S168</f>
        <v>585.76905</v>
      </c>
      <c r="U168" s="161"/>
      <c r="V168" s="161"/>
      <c r="W168" s="161"/>
      <c r="X168" s="161"/>
      <c r="Y168" s="471" t="s">
        <v>20</v>
      </c>
      <c r="Z168" s="468"/>
      <c r="AA168" s="472"/>
      <c r="AB168" s="473"/>
      <c r="AD168" s="468" t="s">
        <v>20</v>
      </c>
      <c r="AE168" s="468"/>
      <c r="AF168" s="34"/>
      <c r="AG168" s="34"/>
    </row>
    <row r="169" spans="1:33" ht="12.75">
      <c r="A169" s="469">
        <v>3</v>
      </c>
      <c r="B169" s="155" t="s">
        <v>43</v>
      </c>
      <c r="C169" s="155">
        <v>23228558249</v>
      </c>
      <c r="D169" s="470">
        <v>36648</v>
      </c>
      <c r="E169" s="462">
        <f>INT(($C$164-D169)/365)</f>
        <v>15</v>
      </c>
      <c r="F169" s="306">
        <v>750</v>
      </c>
      <c r="G169" s="304">
        <f>F169*E169/100</f>
        <v>112.5</v>
      </c>
      <c r="H169" s="304">
        <f>F169*5%</f>
        <v>37.5</v>
      </c>
      <c r="I169" s="304"/>
      <c r="J169" s="304">
        <f>F169+G169+H169+I169</f>
        <v>900</v>
      </c>
      <c r="K169" s="33">
        <v>2</v>
      </c>
      <c r="L169" s="304">
        <f>IF(K169=1,(J169*11%),(J169*7%))</f>
        <v>63.00000000000001</v>
      </c>
      <c r="M169" s="304">
        <f>$J169*$M$166</f>
        <v>27</v>
      </c>
      <c r="N169" s="304">
        <f>$J169*$N$166</f>
        <v>24.3</v>
      </c>
      <c r="O169" s="304">
        <f>$J169*$O$166</f>
        <v>2.7</v>
      </c>
      <c r="P169" s="304">
        <f>$J169*$P$166</f>
        <v>13.5</v>
      </c>
      <c r="Q169" s="304">
        <f t="shared" si="2"/>
        <v>130.5</v>
      </c>
      <c r="R169" s="304">
        <f>J169-Q169</f>
        <v>769.5</v>
      </c>
      <c r="S169" s="306">
        <f>IF(J169&lt;$H$187,$H$188*R188)+S188*$H$189</f>
        <v>0</v>
      </c>
      <c r="T169" s="463">
        <f>R169+S169</f>
        <v>769.5</v>
      </c>
      <c r="U169" s="161"/>
      <c r="V169" s="161"/>
      <c r="W169" s="161"/>
      <c r="X169" s="161"/>
      <c r="Y169" s="471" t="s">
        <v>44</v>
      </c>
      <c r="Z169" s="474">
        <v>0.05</v>
      </c>
      <c r="AA169" s="472">
        <f>AA167*Z169</f>
        <v>17.309</v>
      </c>
      <c r="AB169" s="473"/>
      <c r="AD169" s="468" t="s">
        <v>44</v>
      </c>
      <c r="AE169" s="474">
        <v>0.05</v>
      </c>
      <c r="AF169" s="34">
        <f>AF167*AE169</f>
        <v>17.309</v>
      </c>
      <c r="AG169" s="34"/>
    </row>
    <row r="170" spans="1:33" ht="12.75">
      <c r="A170" s="469">
        <v>4</v>
      </c>
      <c r="B170" s="155" t="s">
        <v>45</v>
      </c>
      <c r="C170" s="155">
        <v>20078785722</v>
      </c>
      <c r="D170" s="470">
        <v>35827</v>
      </c>
      <c r="E170" s="462">
        <f>INT(($C$164-D170)/365)</f>
        <v>17</v>
      </c>
      <c r="F170" s="306">
        <v>800</v>
      </c>
      <c r="G170" s="304">
        <f>F170*E170/100</f>
        <v>136</v>
      </c>
      <c r="H170" s="304">
        <f>F170*5%</f>
        <v>40</v>
      </c>
      <c r="I170" s="304"/>
      <c r="J170" s="304">
        <f>F170+G170+H170+I170</f>
        <v>976</v>
      </c>
      <c r="K170" s="33">
        <v>1</v>
      </c>
      <c r="L170" s="304">
        <f>IF(K170=1,(J170*11%),(J170*7%))</f>
        <v>107.36</v>
      </c>
      <c r="M170" s="304">
        <f>$J170*$M$166</f>
        <v>29.279999999999998</v>
      </c>
      <c r="N170" s="304">
        <f>$J170*$N$166</f>
        <v>26.352</v>
      </c>
      <c r="O170" s="304">
        <f>$J170*$O$166</f>
        <v>2.928</v>
      </c>
      <c r="P170" s="304">
        <f>$J170*$P$166</f>
        <v>14.639999999999999</v>
      </c>
      <c r="Q170" s="304">
        <f t="shared" si="2"/>
        <v>180.55999999999997</v>
      </c>
      <c r="R170" s="304">
        <f>J170-Q170</f>
        <v>795.44</v>
      </c>
      <c r="S170" s="306">
        <f>IF(J170&lt;$H$187,$H$188*R189)+S189*$H$189</f>
        <v>0</v>
      </c>
      <c r="T170" s="463">
        <f>R170+S170</f>
        <v>795.44</v>
      </c>
      <c r="U170" s="161"/>
      <c r="V170" s="161"/>
      <c r="W170" s="161"/>
      <c r="X170" s="161"/>
      <c r="Y170" s="471" t="s">
        <v>46</v>
      </c>
      <c r="Z170" s="468"/>
      <c r="AA170" s="472"/>
      <c r="AB170" s="473"/>
      <c r="AD170" s="468" t="s">
        <v>46</v>
      </c>
      <c r="AE170" s="468"/>
      <c r="AF170" s="34"/>
      <c r="AG170" s="34"/>
    </row>
    <row r="171" spans="1:33" ht="13.5" thickBot="1">
      <c r="A171" s="475">
        <v>5</v>
      </c>
      <c r="B171" s="476" t="s">
        <v>47</v>
      </c>
      <c r="C171" s="476">
        <v>20077097776</v>
      </c>
      <c r="D171" s="477">
        <v>36313</v>
      </c>
      <c r="E171" s="478">
        <f>INT(($C$164-D171)/365)</f>
        <v>16</v>
      </c>
      <c r="F171" s="479">
        <v>750</v>
      </c>
      <c r="G171" s="479">
        <f>F171*E171/100</f>
        <v>120</v>
      </c>
      <c r="H171" s="479">
        <f>F171*5%</f>
        <v>37.5</v>
      </c>
      <c r="I171" s="479"/>
      <c r="J171" s="479">
        <f>F171+G171+H171+I171</f>
        <v>907.5</v>
      </c>
      <c r="K171" s="655">
        <v>1</v>
      </c>
      <c r="L171" s="304">
        <f>IF(K171=1,(J171*11%),(J171*7%))</f>
        <v>99.825</v>
      </c>
      <c r="M171" s="479">
        <f>$J171*$M$166</f>
        <v>27.224999999999998</v>
      </c>
      <c r="N171" s="479">
        <f>$J171*$N$166</f>
        <v>24.5025</v>
      </c>
      <c r="O171" s="479">
        <f>$J171*$O$166</f>
        <v>2.7225</v>
      </c>
      <c r="P171" s="479">
        <f>$J171*$P$166</f>
        <v>13.612499999999999</v>
      </c>
      <c r="Q171" s="479">
        <f t="shared" si="2"/>
        <v>167.88750000000002</v>
      </c>
      <c r="R171" s="479">
        <f>J171-Q171</f>
        <v>739.6125</v>
      </c>
      <c r="S171" s="479">
        <f>IF(J171&lt;$H$187,$H$188*R190)+S190*$H$189</f>
        <v>0</v>
      </c>
      <c r="T171" s="480">
        <f>R171+S171</f>
        <v>739.6125</v>
      </c>
      <c r="U171" s="161"/>
      <c r="V171" s="161"/>
      <c r="W171" s="161"/>
      <c r="X171" s="161"/>
      <c r="Y171" s="471" t="s">
        <v>48</v>
      </c>
      <c r="Z171" s="474">
        <v>0.11</v>
      </c>
      <c r="AA171" s="472"/>
      <c r="AB171" s="473">
        <f>($AA167+$AA169)*Z171</f>
        <v>39.983790000000006</v>
      </c>
      <c r="AD171" s="468" t="s">
        <v>48</v>
      </c>
      <c r="AE171" s="474">
        <v>0.11</v>
      </c>
      <c r="AF171" s="34"/>
      <c r="AG171" s="34">
        <f>$AF$176*AE171</f>
        <v>39.983790000000006</v>
      </c>
    </row>
    <row r="172" spans="1:33" ht="14.25" thickBot="1" thickTop="1">
      <c r="A172" s="481"/>
      <c r="B172" s="482" t="s">
        <v>49</v>
      </c>
      <c r="C172" s="482"/>
      <c r="D172" s="483"/>
      <c r="E172" s="484"/>
      <c r="F172" s="485">
        <f>SUM(F167:F171)</f>
        <v>3357</v>
      </c>
      <c r="G172" s="485">
        <f>SUM(G167:G171)</f>
        <v>553.76</v>
      </c>
      <c r="H172" s="485">
        <f>SUM(H167:H171)</f>
        <v>167.85</v>
      </c>
      <c r="I172" s="485">
        <f>SUM(I167:I171)</f>
        <v>0</v>
      </c>
      <c r="J172" s="653">
        <f>SUM(J167:J171)</f>
        <v>4078.61</v>
      </c>
      <c r="K172" s="656"/>
      <c r="L172" s="654">
        <f aca="true" t="shared" si="3" ref="L172:T172">SUM(L167:L171)</f>
        <v>385.2427</v>
      </c>
      <c r="M172" s="485">
        <f t="shared" si="3"/>
        <v>122.3583</v>
      </c>
      <c r="N172" s="485">
        <f t="shared" si="3"/>
        <v>110.12246999999999</v>
      </c>
      <c r="O172" s="485">
        <f t="shared" si="3"/>
        <v>12.23583</v>
      </c>
      <c r="P172" s="485">
        <f t="shared" si="3"/>
        <v>61.17915</v>
      </c>
      <c r="Q172" s="485">
        <f t="shared" si="3"/>
        <v>691.13845</v>
      </c>
      <c r="R172" s="485">
        <f t="shared" si="3"/>
        <v>3387.47155</v>
      </c>
      <c r="S172" s="485">
        <f t="shared" si="3"/>
        <v>0</v>
      </c>
      <c r="T172" s="486">
        <f t="shared" si="3"/>
        <v>3387.47155</v>
      </c>
      <c r="U172" s="161"/>
      <c r="V172" s="161"/>
      <c r="W172" s="161"/>
      <c r="X172" s="161"/>
      <c r="Y172" s="471" t="s">
        <v>26</v>
      </c>
      <c r="Z172" s="474">
        <v>0.03</v>
      </c>
      <c r="AA172" s="472"/>
      <c r="AB172" s="473">
        <f>($AA167+$AA169)*Z172</f>
        <v>10.904670000000001</v>
      </c>
      <c r="AD172" s="468" t="s">
        <v>26</v>
      </c>
      <c r="AE172" s="474">
        <v>0.03</v>
      </c>
      <c r="AF172" s="34"/>
      <c r="AG172" s="34">
        <f>$AF$176*AE172</f>
        <v>10.904670000000001</v>
      </c>
    </row>
    <row r="173" spans="1:33" ht="13.5" thickBot="1">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469" t="s">
        <v>50</v>
      </c>
      <c r="Z173" s="487">
        <v>0.027</v>
      </c>
      <c r="AA173" s="472"/>
      <c r="AB173" s="473">
        <f>($AA167+$AA169)*Z173</f>
        <v>9.814203000000001</v>
      </c>
      <c r="AD173" s="155" t="s">
        <v>50</v>
      </c>
      <c r="AE173" s="487">
        <v>0.027</v>
      </c>
      <c r="AF173" s="34"/>
      <c r="AG173" s="34">
        <f>$AF$176*AE173</f>
        <v>9.814203000000001</v>
      </c>
    </row>
    <row r="174" spans="1:33" ht="13.5" thickBot="1">
      <c r="A174" s="161" t="s">
        <v>51</v>
      </c>
      <c r="B174" s="161"/>
      <c r="C174" s="161"/>
      <c r="D174" s="161"/>
      <c r="E174" s="161"/>
      <c r="F174" s="161"/>
      <c r="G174" s="161"/>
      <c r="H174" s="161"/>
      <c r="I174" s="161"/>
      <c r="J174" s="161"/>
      <c r="K174" s="161"/>
      <c r="L174" s="161"/>
      <c r="M174" s="161"/>
      <c r="N174" s="161"/>
      <c r="O174" s="161"/>
      <c r="S174" s="161"/>
      <c r="T174" s="638" t="s">
        <v>52</v>
      </c>
      <c r="U174" s="639"/>
      <c r="V174" s="161"/>
      <c r="W174" s="161"/>
      <c r="X174" s="161"/>
      <c r="Y174" s="469" t="s">
        <v>28</v>
      </c>
      <c r="Z174" s="487">
        <v>0.003</v>
      </c>
      <c r="AA174" s="472"/>
      <c r="AB174" s="473">
        <f>($AA167+$AA169)*Z174</f>
        <v>1.090467</v>
      </c>
      <c r="AD174" s="155" t="s">
        <v>28</v>
      </c>
      <c r="AE174" s="487">
        <v>0.003</v>
      </c>
      <c r="AF174" s="34"/>
      <c r="AG174" s="34">
        <f>$AF$176*AE174</f>
        <v>1.090467</v>
      </c>
    </row>
    <row r="175" spans="1:33" ht="13.5" customHeight="1" thickBot="1">
      <c r="A175" s="383" t="s">
        <v>16</v>
      </c>
      <c r="B175" s="383" t="s">
        <v>17</v>
      </c>
      <c r="C175" s="383" t="s">
        <v>18</v>
      </c>
      <c r="D175" s="384" t="s">
        <v>19</v>
      </c>
      <c r="E175" s="384" t="s">
        <v>20</v>
      </c>
      <c r="F175" s="384" t="s">
        <v>21</v>
      </c>
      <c r="G175" s="634" t="s">
        <v>22</v>
      </c>
      <c r="H175" s="635"/>
      <c r="I175" s="383" t="s">
        <v>23</v>
      </c>
      <c r="J175" s="640" t="s">
        <v>24</v>
      </c>
      <c r="K175" s="385" t="s">
        <v>53</v>
      </c>
      <c r="L175" s="455" t="s">
        <v>54</v>
      </c>
      <c r="M175" s="385" t="s">
        <v>55</v>
      </c>
      <c r="N175" s="385" t="s">
        <v>156</v>
      </c>
      <c r="O175" s="385" t="s">
        <v>56</v>
      </c>
      <c r="P175" s="455" t="s">
        <v>28</v>
      </c>
      <c r="Q175" s="657" t="s">
        <v>158</v>
      </c>
      <c r="R175" s="657" t="s">
        <v>159</v>
      </c>
      <c r="S175" s="488" t="s">
        <v>57</v>
      </c>
      <c r="T175" s="489" t="s">
        <v>58</v>
      </c>
      <c r="U175" s="489" t="s">
        <v>59</v>
      </c>
      <c r="V175" s="386" t="s">
        <v>60</v>
      </c>
      <c r="W175" s="342"/>
      <c r="X175" s="342"/>
      <c r="Y175" s="469" t="s">
        <v>61</v>
      </c>
      <c r="Z175" s="487">
        <v>0.015</v>
      </c>
      <c r="AA175" s="472"/>
      <c r="AB175" s="473">
        <f>($AA167+$AA169)*Z175</f>
        <v>5.452335000000001</v>
      </c>
      <c r="AD175" s="155" t="s">
        <v>61</v>
      </c>
      <c r="AE175" s="487">
        <v>0.015</v>
      </c>
      <c r="AF175" s="34"/>
      <c r="AG175" s="34">
        <f>$AF$176*AE175</f>
        <v>5.452335000000001</v>
      </c>
    </row>
    <row r="176" spans="1:33" ht="13.5" thickBot="1">
      <c r="A176" s="375"/>
      <c r="B176" s="375"/>
      <c r="C176" s="375"/>
      <c r="D176" s="56"/>
      <c r="E176" s="56"/>
      <c r="F176" s="56"/>
      <c r="G176" s="490" t="s">
        <v>36</v>
      </c>
      <c r="H176" s="457" t="s">
        <v>37</v>
      </c>
      <c r="I176" s="375"/>
      <c r="J176" s="641"/>
      <c r="K176" s="459">
        <v>0.1017</v>
      </c>
      <c r="L176" s="459">
        <v>0.015</v>
      </c>
      <c r="M176" s="459">
        <v>0.0444</v>
      </c>
      <c r="N176" s="459">
        <v>0.015</v>
      </c>
      <c r="O176" s="459">
        <v>0.054</v>
      </c>
      <c r="P176" s="648">
        <v>0.006</v>
      </c>
      <c r="Q176" s="658"/>
      <c r="R176" s="658"/>
      <c r="S176" s="491">
        <v>0.03</v>
      </c>
      <c r="T176" s="492">
        <v>12.05</v>
      </c>
      <c r="U176" s="493">
        <f>1*AR47</f>
        <v>0.0359</v>
      </c>
      <c r="V176" s="494" t="s">
        <v>62</v>
      </c>
      <c r="W176" s="342"/>
      <c r="X176" s="342"/>
      <c r="Y176" s="495" t="s">
        <v>63</v>
      </c>
      <c r="Z176" s="33"/>
      <c r="AA176" s="496">
        <f>SUM(AA167:AA175)</f>
        <v>363.48900000000003</v>
      </c>
      <c r="AB176" s="497"/>
      <c r="AD176" s="308" t="s">
        <v>64</v>
      </c>
      <c r="AE176" s="308"/>
      <c r="AF176" s="35">
        <f>SUM(AF167:AF175)</f>
        <v>363.48900000000003</v>
      </c>
      <c r="AG176" s="35">
        <f>SUM(AG167:AG175)</f>
        <v>67.24546500000001</v>
      </c>
    </row>
    <row r="177" spans="1:33" ht="13.5" thickBot="1">
      <c r="A177" s="469">
        <v>1</v>
      </c>
      <c r="B177" s="154" t="s">
        <v>40</v>
      </c>
      <c r="C177" s="154">
        <v>20063407152</v>
      </c>
      <c r="D177" s="461">
        <v>35961</v>
      </c>
      <c r="E177" s="462">
        <f>INT((C164-D177)/365)</f>
        <v>17</v>
      </c>
      <c r="F177" s="155">
        <f>F167*1</f>
        <v>500</v>
      </c>
      <c r="G177" s="154">
        <f>F177*E177/100</f>
        <v>85</v>
      </c>
      <c r="H177" s="154">
        <f>F177*5%</f>
        <v>25</v>
      </c>
      <c r="I177" s="154"/>
      <c r="J177" s="304">
        <f>F177+G177+H177+I177</f>
        <v>610</v>
      </c>
      <c r="K177" s="304">
        <f>$J177*$K$176</f>
        <v>62.037</v>
      </c>
      <c r="L177" s="304">
        <f>$J177*$L$176</f>
        <v>9.15</v>
      </c>
      <c r="M177" s="304">
        <f>$J177*$M$176</f>
        <v>27.084</v>
      </c>
      <c r="N177" s="304">
        <f>$J177*$N$176</f>
        <v>9.15</v>
      </c>
      <c r="O177" s="304">
        <f>$J177*$O$176</f>
        <v>32.94</v>
      </c>
      <c r="P177" s="304">
        <f>J177*$P$176</f>
        <v>3.66</v>
      </c>
      <c r="Q177" s="304">
        <v>2.25</v>
      </c>
      <c r="R177" s="304">
        <v>4.05</v>
      </c>
      <c r="S177" s="304">
        <f>$J177*$S$176</f>
        <v>18.3</v>
      </c>
      <c r="T177" s="154">
        <f>1*T176</f>
        <v>12.05</v>
      </c>
      <c r="U177" s="304">
        <f>$J177*$U$176</f>
        <v>21.899</v>
      </c>
      <c r="V177" s="463">
        <f>SUM(K177:U177)</f>
        <v>202.57000000000002</v>
      </c>
      <c r="W177" s="649"/>
      <c r="X177" s="649"/>
      <c r="Y177" s="120"/>
      <c r="Z177" s="33"/>
      <c r="AA177" s="498"/>
      <c r="AB177" s="497"/>
      <c r="AD177" s="499" t="s">
        <v>65</v>
      </c>
      <c r="AE177" s="500"/>
      <c r="AF177" s="501">
        <f>AF176-AG176</f>
        <v>296.243535</v>
      </c>
      <c r="AG177" s="370"/>
    </row>
    <row r="178" spans="1:28" ht="12.75">
      <c r="A178" s="469">
        <v>2</v>
      </c>
      <c r="B178" s="155" t="s">
        <v>42</v>
      </c>
      <c r="C178" s="155">
        <v>23115513079</v>
      </c>
      <c r="D178" s="470">
        <v>35431</v>
      </c>
      <c r="E178" s="462">
        <f>INT(($C$164-D178)/365)</f>
        <v>18</v>
      </c>
      <c r="F178" s="155">
        <f>F168*1</f>
        <v>557</v>
      </c>
      <c r="G178" s="154">
        <f>F178*E178/100</f>
        <v>100.26</v>
      </c>
      <c r="H178" s="154">
        <f>F178*5%</f>
        <v>27.85</v>
      </c>
      <c r="I178" s="154"/>
      <c r="J178" s="304">
        <f>F178+G178+H178+I178</f>
        <v>685.11</v>
      </c>
      <c r="K178" s="304">
        <f>$J178*$K$176</f>
        <v>69.675687</v>
      </c>
      <c r="L178" s="304">
        <f>$J178*$L$176</f>
        <v>10.27665</v>
      </c>
      <c r="M178" s="304">
        <f>$J178*$M$176</f>
        <v>30.418884000000002</v>
      </c>
      <c r="N178" s="304">
        <f>$J178*$N$176</f>
        <v>10.27665</v>
      </c>
      <c r="O178" s="304">
        <f>$J178*$O$176</f>
        <v>36.99594</v>
      </c>
      <c r="P178" s="304">
        <f>J178*$P$176</f>
        <v>4.11066</v>
      </c>
      <c r="Q178" s="304">
        <v>2.25</v>
      </c>
      <c r="R178" s="304">
        <v>4.05</v>
      </c>
      <c r="S178" s="304">
        <f>$J178*$S$176</f>
        <v>20.5533</v>
      </c>
      <c r="T178" s="154">
        <f>1*T177</f>
        <v>12.05</v>
      </c>
      <c r="U178" s="304">
        <f>$J178*$U$176</f>
        <v>24.595449000000002</v>
      </c>
      <c r="V178" s="463">
        <f>SUM(K178:U178)</f>
        <v>225.25322000000003</v>
      </c>
      <c r="W178" s="649"/>
      <c r="X178" s="650"/>
      <c r="Y178" s="469" t="s">
        <v>46</v>
      </c>
      <c r="Z178" s="33"/>
      <c r="AA178" s="472">
        <v>80</v>
      </c>
      <c r="AB178" s="473"/>
    </row>
    <row r="179" spans="1:28" ht="12.75">
      <c r="A179" s="469">
        <v>3</v>
      </c>
      <c r="B179" s="155" t="s">
        <v>43</v>
      </c>
      <c r="C179" s="155">
        <v>23228558249</v>
      </c>
      <c r="D179" s="470">
        <v>36648</v>
      </c>
      <c r="E179" s="462">
        <f>INT(($C$164-D179)/365)</f>
        <v>15</v>
      </c>
      <c r="F179" s="155">
        <f>F169*1</f>
        <v>750</v>
      </c>
      <c r="G179" s="154">
        <f>F179*E179/100</f>
        <v>112.5</v>
      </c>
      <c r="H179" s="154">
        <f>F179*5%</f>
        <v>37.5</v>
      </c>
      <c r="I179" s="154"/>
      <c r="J179" s="304">
        <f>F179+G179+H179+I179</f>
        <v>900</v>
      </c>
      <c r="K179" s="304">
        <f>$J179*$K$176</f>
        <v>91.53</v>
      </c>
      <c r="L179" s="304">
        <f>$J179*$L$176</f>
        <v>13.5</v>
      </c>
      <c r="M179" s="304">
        <f>$J179*$M$176</f>
        <v>39.96</v>
      </c>
      <c r="N179" s="304">
        <f>$J179*$N$176</f>
        <v>13.5</v>
      </c>
      <c r="O179" s="304">
        <f>$J179*$O$176</f>
        <v>48.6</v>
      </c>
      <c r="P179" s="304">
        <f>J179*$P$176</f>
        <v>5.4</v>
      </c>
      <c r="Q179" s="304">
        <v>2.25</v>
      </c>
      <c r="R179" s="304">
        <v>4.05</v>
      </c>
      <c r="S179" s="304">
        <f>$J179*$S$176</f>
        <v>27</v>
      </c>
      <c r="T179" s="154">
        <f>1*T178</f>
        <v>12.05</v>
      </c>
      <c r="U179" s="304">
        <f>$J179*$U$176</f>
        <v>32.31</v>
      </c>
      <c r="V179" s="463">
        <f>SUM(K179:U179)</f>
        <v>290.15000000000003</v>
      </c>
      <c r="W179" s="649"/>
      <c r="X179" s="650"/>
      <c r="Y179" s="469" t="s">
        <v>66</v>
      </c>
      <c r="Z179" s="33"/>
      <c r="AA179" s="472">
        <v>7</v>
      </c>
      <c r="AB179" s="473"/>
    </row>
    <row r="180" spans="1:28" ht="13.5" thickBot="1">
      <c r="A180" s="469">
        <v>4</v>
      </c>
      <c r="B180" s="155" t="s">
        <v>45</v>
      </c>
      <c r="C180" s="155">
        <v>20078785722</v>
      </c>
      <c r="D180" s="470">
        <v>35827</v>
      </c>
      <c r="E180" s="462">
        <f>INT(($C$164-D180)/365)</f>
        <v>17</v>
      </c>
      <c r="F180" s="155">
        <f>F170*1</f>
        <v>800</v>
      </c>
      <c r="G180" s="304">
        <f>F180*E180/100</f>
        <v>136</v>
      </c>
      <c r="H180" s="304">
        <f>F180*5%</f>
        <v>40</v>
      </c>
      <c r="I180" s="154"/>
      <c r="J180" s="304">
        <f>F180+G180+H180+I180</f>
        <v>976</v>
      </c>
      <c r="K180" s="304">
        <f>$J180*$K$176</f>
        <v>99.25919999999999</v>
      </c>
      <c r="L180" s="304">
        <f>$J180*$L$176</f>
        <v>14.639999999999999</v>
      </c>
      <c r="M180" s="304">
        <f>$J180*$M$176</f>
        <v>43.3344</v>
      </c>
      <c r="N180" s="304">
        <f>$J180*$N$176</f>
        <v>14.639999999999999</v>
      </c>
      <c r="O180" s="304">
        <f>$J180*$O$176</f>
        <v>52.704</v>
      </c>
      <c r="P180" s="304">
        <f>J180*$P$176</f>
        <v>5.856</v>
      </c>
      <c r="Q180" s="304">
        <v>2.25</v>
      </c>
      <c r="R180" s="304">
        <v>4.05</v>
      </c>
      <c r="S180" s="304">
        <f>$J180*$S$176</f>
        <v>29.279999999999998</v>
      </c>
      <c r="T180" s="154">
        <f>1*T179</f>
        <v>12.05</v>
      </c>
      <c r="U180" s="304">
        <f>$J180*$U$176</f>
        <v>35.0384</v>
      </c>
      <c r="V180" s="463">
        <f>SUM(K180:U180)</f>
        <v>313.10200000000003</v>
      </c>
      <c r="W180" s="649"/>
      <c r="X180" s="649"/>
      <c r="Y180" s="502" t="s">
        <v>64</v>
      </c>
      <c r="Z180" s="503"/>
      <c r="AA180" s="504">
        <f>SUM(AA176:AA179)</f>
        <v>450.48900000000003</v>
      </c>
      <c r="AB180" s="505">
        <f>SUM(AB167:AB179)</f>
        <v>67.24546500000001</v>
      </c>
    </row>
    <row r="181" spans="1:28" ht="13.5" thickBot="1">
      <c r="A181" s="475">
        <v>5</v>
      </c>
      <c r="B181" s="476" t="s">
        <v>47</v>
      </c>
      <c r="C181" s="476">
        <v>20077097776</v>
      </c>
      <c r="D181" s="477">
        <v>36313</v>
      </c>
      <c r="E181" s="478">
        <f>INT(($C$164-D181)/365)</f>
        <v>16</v>
      </c>
      <c r="F181" s="155">
        <f>F171*1</f>
        <v>750</v>
      </c>
      <c r="G181" s="479">
        <f>F181*E181/100</f>
        <v>120</v>
      </c>
      <c r="H181" s="479">
        <f>F181*5%</f>
        <v>37.5</v>
      </c>
      <c r="I181" s="476"/>
      <c r="J181" s="479">
        <f>F181+G181+H181+I181</f>
        <v>907.5</v>
      </c>
      <c r="K181" s="479">
        <f>$J181*$K$176</f>
        <v>92.29275</v>
      </c>
      <c r="L181" s="479">
        <f>$J181*$L$176</f>
        <v>13.612499999999999</v>
      </c>
      <c r="M181" s="479">
        <f>$J181*$M$176</f>
        <v>40.293</v>
      </c>
      <c r="N181" s="479">
        <f>$J181*$N$176</f>
        <v>13.612499999999999</v>
      </c>
      <c r="O181" s="479">
        <f>$J181*$O$176</f>
        <v>49.005</v>
      </c>
      <c r="P181" s="304">
        <f>J181*$P$176</f>
        <v>5.445</v>
      </c>
      <c r="Q181" s="304">
        <v>2.25</v>
      </c>
      <c r="R181" s="304">
        <v>4.05</v>
      </c>
      <c r="S181" s="479">
        <f>$J181*$S$176</f>
        <v>27.224999999999998</v>
      </c>
      <c r="T181" s="476">
        <f>1*T180</f>
        <v>12.05</v>
      </c>
      <c r="U181" s="479">
        <f>$J181*$U$176</f>
        <v>32.57925</v>
      </c>
      <c r="V181" s="480">
        <f>SUM(K181:U181)</f>
        <v>292.415</v>
      </c>
      <c r="W181" s="649"/>
      <c r="X181" s="649"/>
      <c r="Y181" s="312" t="s">
        <v>65</v>
      </c>
      <c r="Z181" s="506"/>
      <c r="AA181" s="507">
        <f>AA180-AB180</f>
        <v>383.243535</v>
      </c>
      <c r="AB181" s="508"/>
    </row>
    <row r="182" spans="1:33" ht="14.25" thickBot="1" thickTop="1">
      <c r="A182" s="481"/>
      <c r="B182" s="482" t="s">
        <v>49</v>
      </c>
      <c r="C182" s="482"/>
      <c r="D182" s="483"/>
      <c r="E182" s="482"/>
      <c r="F182" s="482">
        <f>SUM(F177:F181)</f>
        <v>3357</v>
      </c>
      <c r="G182" s="485">
        <f aca="true" t="shared" si="4" ref="G182:N182">SUM(G177:G181)</f>
        <v>553.76</v>
      </c>
      <c r="H182" s="485">
        <f t="shared" si="4"/>
        <v>167.85</v>
      </c>
      <c r="I182" s="482">
        <f t="shared" si="4"/>
        <v>0</v>
      </c>
      <c r="J182" s="485">
        <f t="shared" si="4"/>
        <v>4078.61</v>
      </c>
      <c r="K182" s="485">
        <f t="shared" si="4"/>
        <v>414.794637</v>
      </c>
      <c r="L182" s="485">
        <f t="shared" si="4"/>
        <v>61.17915</v>
      </c>
      <c r="M182" s="485">
        <f t="shared" si="4"/>
        <v>181.090284</v>
      </c>
      <c r="N182" s="485">
        <f t="shared" si="4"/>
        <v>61.17915</v>
      </c>
      <c r="O182" s="485">
        <f aca="true" t="shared" si="5" ref="O182:V182">SUM(O177:O181)</f>
        <v>220.24493999999999</v>
      </c>
      <c r="P182" s="485">
        <f t="shared" si="5"/>
        <v>24.47166</v>
      </c>
      <c r="Q182" s="485">
        <f t="shared" si="5"/>
        <v>11.25</v>
      </c>
      <c r="R182" s="485">
        <f t="shared" si="5"/>
        <v>20.25</v>
      </c>
      <c r="S182" s="485">
        <f t="shared" si="5"/>
        <v>122.3583</v>
      </c>
      <c r="T182" s="485">
        <f t="shared" si="5"/>
        <v>60.25</v>
      </c>
      <c r="U182" s="485">
        <f t="shared" si="5"/>
        <v>146.422099</v>
      </c>
      <c r="V182" s="486">
        <f t="shared" si="5"/>
        <v>1323.4902200000001</v>
      </c>
      <c r="W182" s="649"/>
      <c r="X182" s="649"/>
      <c r="Z182" s="161"/>
      <c r="AA182" s="161"/>
      <c r="AF182" s="161"/>
      <c r="AG182" s="161"/>
    </row>
    <row r="183" spans="1:33" ht="12.75">
      <c r="A183" s="161"/>
      <c r="B183" s="161"/>
      <c r="C183" s="161"/>
      <c r="D183" s="161"/>
      <c r="E183" s="161"/>
      <c r="F183" s="161"/>
      <c r="G183" s="161"/>
      <c r="H183" s="161"/>
      <c r="I183" s="161"/>
      <c r="J183" s="311"/>
      <c r="K183" s="311"/>
      <c r="L183" s="311"/>
      <c r="M183" s="311"/>
      <c r="N183" s="311"/>
      <c r="O183" s="311"/>
      <c r="P183" s="311"/>
      <c r="Q183" s="311"/>
      <c r="Z183" s="161"/>
      <c r="AA183" s="161"/>
      <c r="AF183" s="161"/>
      <c r="AG183" s="161"/>
    </row>
    <row r="184" spans="1:33" ht="13.5" thickBot="1">
      <c r="A184" t="s">
        <v>67</v>
      </c>
      <c r="Z184" s="161" t="s">
        <v>68</v>
      </c>
      <c r="AD184" s="161" t="s">
        <v>68</v>
      </c>
      <c r="AG184" s="161"/>
    </row>
    <row r="185" spans="1:32" ht="13.5" thickBot="1">
      <c r="A185" s="29" t="s">
        <v>52</v>
      </c>
      <c r="B185" s="509"/>
      <c r="C185" s="510">
        <f>1*AS53</f>
        <v>232.57209900000004</v>
      </c>
      <c r="L185" s="33"/>
      <c r="M185" s="444" t="s">
        <v>70</v>
      </c>
      <c r="N185" s="147"/>
      <c r="O185" s="147"/>
      <c r="P185" s="190"/>
      <c r="Q185" s="131" t="s">
        <v>71</v>
      </c>
      <c r="R185" s="131" t="s">
        <v>72</v>
      </c>
      <c r="S185" s="131" t="s">
        <v>73</v>
      </c>
      <c r="Z185" s="38" t="s">
        <v>718</v>
      </c>
      <c r="AA185" s="126" t="s">
        <v>735</v>
      </c>
      <c r="AB185" s="128" t="s">
        <v>74</v>
      </c>
      <c r="AD185" s="38" t="s">
        <v>718</v>
      </c>
      <c r="AE185" s="126" t="s">
        <v>735</v>
      </c>
      <c r="AF185" s="128" t="s">
        <v>74</v>
      </c>
    </row>
    <row r="186" spans="1:32" ht="12.75">
      <c r="A186" s="511" t="s">
        <v>75</v>
      </c>
      <c r="B186" s="190"/>
      <c r="C186" s="121">
        <f>K182+L182+M182+N182+O182+P182+Q182+R182</f>
        <v>994.459821</v>
      </c>
      <c r="L186" s="33">
        <v>1</v>
      </c>
      <c r="M186" s="147" t="s">
        <v>76</v>
      </c>
      <c r="N186" s="147"/>
      <c r="O186" s="147"/>
      <c r="P186" s="147"/>
      <c r="Q186" s="33" t="s">
        <v>77</v>
      </c>
      <c r="R186" s="33">
        <v>2</v>
      </c>
      <c r="S186" s="190">
        <f>IF(R186&gt;2,(R186-2),0)</f>
        <v>0</v>
      </c>
      <c r="Z186" s="465" t="s">
        <v>48</v>
      </c>
      <c r="AA186" s="512">
        <v>0.0446</v>
      </c>
      <c r="AB186" s="32">
        <f aca="true" t="shared" si="6" ref="AB186:AB192">$AA$176*AA186</f>
        <v>16.2116094</v>
      </c>
      <c r="AD186" s="465" t="s">
        <v>48</v>
      </c>
      <c r="AE186" s="512">
        <v>0.0446</v>
      </c>
      <c r="AF186" s="32">
        <f aca="true" t="shared" si="7" ref="AF186:AF192">$AF$176*AE186</f>
        <v>16.2116094</v>
      </c>
    </row>
    <row r="187" spans="1:32" ht="12.75">
      <c r="A187" s="58" t="s">
        <v>78</v>
      </c>
      <c r="B187" s="513"/>
      <c r="C187" s="121">
        <f>(L172+M172+N172+O172)</f>
        <v>629.9593</v>
      </c>
      <c r="L187" s="33">
        <v>2</v>
      </c>
      <c r="M187" s="147" t="s">
        <v>79</v>
      </c>
      <c r="N187" s="147"/>
      <c r="O187" s="147"/>
      <c r="P187" s="147"/>
      <c r="Q187" s="33" t="s">
        <v>80</v>
      </c>
      <c r="R187" s="33">
        <v>0</v>
      </c>
      <c r="S187" s="190">
        <f>IF(R187&gt;2,(R187-2),0)</f>
        <v>0</v>
      </c>
      <c r="Z187" s="468" t="s">
        <v>26</v>
      </c>
      <c r="AA187" s="487">
        <v>0.0034</v>
      </c>
      <c r="AB187" s="34">
        <f t="shared" si="6"/>
        <v>1.2358626000000001</v>
      </c>
      <c r="AD187" s="468" t="s">
        <v>26</v>
      </c>
      <c r="AE187" s="487">
        <v>0.0034</v>
      </c>
      <c r="AF187" s="32">
        <f t="shared" si="7"/>
        <v>1.2358626000000001</v>
      </c>
    </row>
    <row r="188" spans="1:32" ht="12.75">
      <c r="A188" s="511" t="s">
        <v>81</v>
      </c>
      <c r="B188" s="190"/>
      <c r="C188" s="121">
        <f>SUM(C185:C187)</f>
        <v>1856.99122</v>
      </c>
      <c r="L188" s="33">
        <v>3</v>
      </c>
      <c r="M188" s="147" t="s">
        <v>83</v>
      </c>
      <c r="N188" s="147"/>
      <c r="O188" s="147"/>
      <c r="P188" s="147"/>
      <c r="Q188" s="33" t="s">
        <v>77</v>
      </c>
      <c r="R188" s="33">
        <v>0</v>
      </c>
      <c r="S188" s="190">
        <f>IF(R188&gt;2,(R188-2),0)</f>
        <v>0</v>
      </c>
      <c r="Z188" s="155" t="s">
        <v>84</v>
      </c>
      <c r="AA188" s="323">
        <v>0.03</v>
      </c>
      <c r="AB188" s="34">
        <f t="shared" si="6"/>
        <v>10.904670000000001</v>
      </c>
      <c r="AD188" s="155" t="s">
        <v>84</v>
      </c>
      <c r="AE188" s="323">
        <v>0.03</v>
      </c>
      <c r="AF188" s="32">
        <f t="shared" si="7"/>
        <v>10.904670000000001</v>
      </c>
    </row>
    <row r="189" spans="1:32" ht="12.75">
      <c r="A189" s="511" t="s">
        <v>85</v>
      </c>
      <c r="B189" s="190"/>
      <c r="C189" s="121">
        <f>1*S172</f>
        <v>0</v>
      </c>
      <c r="L189" s="33">
        <v>4</v>
      </c>
      <c r="M189" s="147" t="s">
        <v>86</v>
      </c>
      <c r="N189" s="147"/>
      <c r="O189" s="147"/>
      <c r="P189" s="147"/>
      <c r="Q189" s="33" t="s">
        <v>77</v>
      </c>
      <c r="R189" s="33">
        <v>3</v>
      </c>
      <c r="S189" s="190">
        <f>IF(R189&gt;2,(R189-2),0)</f>
        <v>1</v>
      </c>
      <c r="Z189" s="155" t="s">
        <v>87</v>
      </c>
      <c r="AA189" s="487">
        <v>0.006</v>
      </c>
      <c r="AB189" s="34">
        <f t="shared" si="6"/>
        <v>2.180934</v>
      </c>
      <c r="AD189" s="155" t="s">
        <v>87</v>
      </c>
      <c r="AE189" s="487">
        <v>0.006</v>
      </c>
      <c r="AF189" s="32">
        <f t="shared" si="7"/>
        <v>2.180934</v>
      </c>
    </row>
    <row r="190" spans="1:32" ht="12.75">
      <c r="A190" s="58"/>
      <c r="B190" s="513"/>
      <c r="C190" s="123"/>
      <c r="L190" s="33">
        <v>5</v>
      </c>
      <c r="M190" s="147" t="s">
        <v>88</v>
      </c>
      <c r="N190" s="147"/>
      <c r="O190" s="147"/>
      <c r="P190" s="147"/>
      <c r="Q190" s="33" t="s">
        <v>77</v>
      </c>
      <c r="R190" s="33">
        <v>1</v>
      </c>
      <c r="S190" s="190">
        <f>IF(R190&gt;2,(R190-2),0)</f>
        <v>0</v>
      </c>
      <c r="Z190" s="155" t="s">
        <v>50</v>
      </c>
      <c r="AA190" s="323">
        <v>0.05</v>
      </c>
      <c r="AB190" s="34">
        <f t="shared" si="6"/>
        <v>18.174450000000004</v>
      </c>
      <c r="AD190" s="155" t="s">
        <v>50</v>
      </c>
      <c r="AE190" s="323">
        <v>0.05</v>
      </c>
      <c r="AF190" s="32">
        <f t="shared" si="7"/>
        <v>18.174450000000004</v>
      </c>
    </row>
    <row r="191" spans="1:32" ht="12.75">
      <c r="A191" s="511"/>
      <c r="B191" s="190"/>
      <c r="C191" s="121"/>
      <c r="Z191" s="155" t="s">
        <v>89</v>
      </c>
      <c r="AA191" s="323">
        <v>0.03</v>
      </c>
      <c r="AB191" s="34">
        <f t="shared" si="6"/>
        <v>10.904670000000001</v>
      </c>
      <c r="AD191" s="155" t="s">
        <v>89</v>
      </c>
      <c r="AE191" s="323">
        <v>0.03</v>
      </c>
      <c r="AF191" s="32">
        <f t="shared" si="7"/>
        <v>10.904670000000001</v>
      </c>
    </row>
    <row r="192" spans="1:32" ht="22.5">
      <c r="A192" s="58" t="s">
        <v>90</v>
      </c>
      <c r="B192" s="513"/>
      <c r="C192" s="119">
        <f>1*P172</f>
        <v>61.17915</v>
      </c>
      <c r="O192" t="s">
        <v>77</v>
      </c>
      <c r="P192" t="s">
        <v>91</v>
      </c>
      <c r="Z192" s="514" t="s">
        <v>92</v>
      </c>
      <c r="AA192" s="515">
        <f>1*AR47</f>
        <v>0.0359</v>
      </c>
      <c r="AB192" s="516">
        <f t="shared" si="6"/>
        <v>13.049255100000002</v>
      </c>
      <c r="AD192" s="514" t="s">
        <v>92</v>
      </c>
      <c r="AE192" s="487">
        <f>1*AR47</f>
        <v>0.0359</v>
      </c>
      <c r="AF192" s="32">
        <f t="shared" si="7"/>
        <v>13.049255100000002</v>
      </c>
    </row>
    <row r="193" spans="1:32" ht="12.75">
      <c r="A193" s="511" t="s">
        <v>89</v>
      </c>
      <c r="B193" s="190"/>
      <c r="C193" s="121">
        <f>1*S182</f>
        <v>122.3583</v>
      </c>
      <c r="O193" t="s">
        <v>80</v>
      </c>
      <c r="P193" t="s">
        <v>93</v>
      </c>
      <c r="Z193" s="517" t="s">
        <v>94</v>
      </c>
      <c r="AA193" s="517"/>
      <c r="AB193" s="516">
        <f>1*AQ47</f>
        <v>17.23</v>
      </c>
      <c r="AD193" s="33" t="s">
        <v>94</v>
      </c>
      <c r="AE193" s="33"/>
      <c r="AF193" s="32">
        <f>1*AQ47</f>
        <v>17.23</v>
      </c>
    </row>
    <row r="194" spans="1:32" ht="13.5" thickBot="1">
      <c r="A194" s="518"/>
      <c r="B194" s="519"/>
      <c r="C194" s="121"/>
      <c r="AB194" s="34">
        <f>SUM(AB186:AB193)</f>
        <v>89.89145110000001</v>
      </c>
      <c r="AD194" t="s">
        <v>784</v>
      </c>
      <c r="AF194" s="34">
        <f>SUM(AF186:AF193)</f>
        <v>89.89145110000001</v>
      </c>
    </row>
    <row r="195" spans="1:26" ht="13.5" thickBot="1">
      <c r="A195" s="520" t="s">
        <v>95</v>
      </c>
      <c r="B195" s="178"/>
      <c r="C195" s="178"/>
      <c r="D195" s="370">
        <f>C188-C189+C192+C193</f>
        <v>2040.5286700000001</v>
      </c>
      <c r="Z195" t="s">
        <v>96</v>
      </c>
    </row>
    <row r="196" spans="1:4" ht="12.75">
      <c r="A196" s="356"/>
      <c r="B196" s="356"/>
      <c r="C196" s="356"/>
      <c r="D196" s="451"/>
    </row>
    <row r="197" spans="1:4" ht="12.75">
      <c r="A197" s="356"/>
      <c r="B197" s="356"/>
      <c r="C197" s="356"/>
      <c r="D197" s="451"/>
    </row>
  </sheetData>
  <sheetProtection/>
  <mergeCells count="14">
    <mergeCell ref="A163:M163"/>
    <mergeCell ref="A128:S128"/>
    <mergeCell ref="D25:D26"/>
    <mergeCell ref="E25:E26"/>
    <mergeCell ref="F25:F26"/>
    <mergeCell ref="G25:H25"/>
    <mergeCell ref="G129:H129"/>
    <mergeCell ref="I25:I26"/>
    <mergeCell ref="J25:J26"/>
    <mergeCell ref="K61:P61"/>
    <mergeCell ref="A1:S1"/>
    <mergeCell ref="A3:A4"/>
    <mergeCell ref="B3:B4"/>
    <mergeCell ref="C3:C4"/>
  </mergeCells>
  <printOptions/>
  <pageMargins left="0.75" right="0.75" top="1" bottom="1" header="0" footer="0"/>
  <pageSetup horizontalDpi="120" verticalDpi="120" orientation="portrait" paperSize="9" r:id="rId2"/>
  <drawing r:id="rId1"/>
</worksheet>
</file>

<file path=xl/worksheets/sheet25.xml><?xml version="1.0" encoding="utf-8"?>
<worksheet xmlns="http://schemas.openxmlformats.org/spreadsheetml/2006/main" xmlns:r="http://schemas.openxmlformats.org/officeDocument/2006/relationships">
  <dimension ref="A1:F33"/>
  <sheetViews>
    <sheetView zoomScalePageLayoutView="0" workbookViewId="0" topLeftCell="A5">
      <selection activeCell="G2" sqref="G2"/>
    </sheetView>
  </sheetViews>
  <sheetFormatPr defaultColWidth="11.421875" defaultRowHeight="12.75"/>
  <cols>
    <col min="1" max="1" width="42.00390625" style="0" customWidth="1"/>
    <col min="2" max="2" width="8.28125" style="0" customWidth="1"/>
    <col min="3" max="3" width="7.8515625" style="0" customWidth="1"/>
    <col min="4" max="4" width="7.57421875" style="0" customWidth="1"/>
    <col min="5" max="5" width="9.140625" style="0" customWidth="1"/>
    <col min="6" max="6" width="10.00390625" style="0" customWidth="1"/>
  </cols>
  <sheetData>
    <row r="1" spans="1:6" ht="21" thickBot="1">
      <c r="A1" s="1230" t="s">
        <v>378</v>
      </c>
      <c r="B1" s="1231"/>
      <c r="C1" s="1231"/>
      <c r="D1" s="1231"/>
      <c r="E1" s="1231"/>
      <c r="F1" s="1232"/>
    </row>
    <row r="2" ht="15.75">
      <c r="A2" s="996" t="s">
        <v>379</v>
      </c>
    </row>
    <row r="3" spans="1:6" ht="26.25">
      <c r="A3" s="997" t="s">
        <v>69</v>
      </c>
      <c r="B3" s="998" t="s">
        <v>380</v>
      </c>
      <c r="C3" s="998" t="s">
        <v>381</v>
      </c>
      <c r="D3" s="998" t="s">
        <v>382</v>
      </c>
      <c r="E3" s="998" t="s">
        <v>383</v>
      </c>
      <c r="F3" s="998" t="s">
        <v>384</v>
      </c>
    </row>
    <row r="4" spans="1:6" ht="19.5" customHeight="1">
      <c r="A4" s="997" t="s">
        <v>385</v>
      </c>
      <c r="B4" s="1233"/>
      <c r="C4" s="1233"/>
      <c r="D4" s="1233"/>
      <c r="E4" s="1233"/>
      <c r="F4" s="1233"/>
    </row>
    <row r="5" ht="18" customHeight="1">
      <c r="A5" s="997" t="s">
        <v>386</v>
      </c>
    </row>
    <row r="6" spans="1:6" ht="15.75">
      <c r="A6" s="999" t="s">
        <v>1132</v>
      </c>
      <c r="B6" s="1233"/>
      <c r="C6" s="1233"/>
      <c r="D6" s="1233"/>
      <c r="E6" s="1233"/>
      <c r="F6" s="1233"/>
    </row>
    <row r="7" spans="1:6" ht="28.5" customHeight="1">
      <c r="A7" s="997" t="s">
        <v>387</v>
      </c>
      <c r="B7" s="1000">
        <v>200</v>
      </c>
      <c r="C7" s="997" t="s">
        <v>388</v>
      </c>
      <c r="D7" s="997" t="s">
        <v>388</v>
      </c>
      <c r="E7" s="997" t="s">
        <v>388</v>
      </c>
      <c r="F7" s="997" t="s">
        <v>388</v>
      </c>
    </row>
    <row r="8" spans="1:6" ht="27.75" customHeight="1">
      <c r="A8" s="997" t="s">
        <v>389</v>
      </c>
      <c r="B8" s="997" t="s">
        <v>388</v>
      </c>
      <c r="C8" s="1000">
        <v>200</v>
      </c>
      <c r="D8" s="1000">
        <v>200</v>
      </c>
      <c r="E8" s="1000">
        <v>200</v>
      </c>
      <c r="F8" s="997" t="s">
        <v>388</v>
      </c>
    </row>
    <row r="9" spans="1:6" ht="16.5" customHeight="1">
      <c r="A9" s="999" t="s">
        <v>390</v>
      </c>
      <c r="B9" s="1233"/>
      <c r="C9" s="1233"/>
      <c r="D9" s="1233"/>
      <c r="E9" s="1233"/>
      <c r="F9" s="1233"/>
    </row>
    <row r="10" spans="1:6" ht="28.5" customHeight="1">
      <c r="A10" s="997" t="s">
        <v>387</v>
      </c>
      <c r="B10" s="1000">
        <v>1200</v>
      </c>
      <c r="C10" s="997" t="s">
        <v>388</v>
      </c>
      <c r="D10" s="997" t="s">
        <v>388</v>
      </c>
      <c r="E10" s="997" t="s">
        <v>388</v>
      </c>
      <c r="F10" s="997" t="s">
        <v>388</v>
      </c>
    </row>
    <row r="11" spans="1:6" ht="27.75" customHeight="1">
      <c r="A11" s="997" t="s">
        <v>389</v>
      </c>
      <c r="B11" s="997" t="s">
        <v>388</v>
      </c>
      <c r="C11" s="1000">
        <v>1200</v>
      </c>
      <c r="D11" s="1000">
        <v>1200</v>
      </c>
      <c r="E11" s="1000">
        <v>1200</v>
      </c>
      <c r="F11" s="997" t="s">
        <v>388</v>
      </c>
    </row>
    <row r="12" spans="1:6" ht="18.75" customHeight="1">
      <c r="A12" s="999" t="s">
        <v>391</v>
      </c>
      <c r="B12" s="1233"/>
      <c r="C12" s="1233"/>
      <c r="D12" s="1233"/>
      <c r="E12" s="1233"/>
      <c r="F12" s="1233"/>
    </row>
    <row r="13" spans="1:6" ht="22.5" customHeight="1">
      <c r="A13" s="997" t="s">
        <v>387</v>
      </c>
      <c r="B13" s="1000">
        <v>300</v>
      </c>
      <c r="C13" s="997" t="s">
        <v>388</v>
      </c>
      <c r="D13" s="997" t="s">
        <v>388</v>
      </c>
      <c r="E13" s="997" t="s">
        <v>388</v>
      </c>
      <c r="F13" s="997" t="s">
        <v>388</v>
      </c>
    </row>
    <row r="14" spans="1:6" ht="19.5" customHeight="1">
      <c r="A14" s="997" t="s">
        <v>389</v>
      </c>
      <c r="B14" s="997" t="s">
        <v>388</v>
      </c>
      <c r="C14" s="1000">
        <v>300</v>
      </c>
      <c r="D14" s="1000">
        <v>300</v>
      </c>
      <c r="E14" s="1000">
        <v>300</v>
      </c>
      <c r="F14" s="997" t="s">
        <v>388</v>
      </c>
    </row>
    <row r="15" spans="1:6" ht="23.25" customHeight="1">
      <c r="A15" s="999" t="s">
        <v>392</v>
      </c>
      <c r="B15" s="1233"/>
      <c r="C15" s="1233"/>
      <c r="D15" s="1233"/>
      <c r="E15" s="1233"/>
      <c r="F15" s="1233"/>
    </row>
    <row r="16" spans="1:6" ht="24" customHeight="1">
      <c r="A16" s="997" t="s">
        <v>393</v>
      </c>
      <c r="B16" s="1000">
        <v>60</v>
      </c>
      <c r="C16" s="1000">
        <v>60</v>
      </c>
      <c r="D16" s="1000">
        <v>90</v>
      </c>
      <c r="E16" s="1000">
        <v>120</v>
      </c>
      <c r="F16" s="1000">
        <v>129</v>
      </c>
    </row>
    <row r="17" spans="1:6" ht="16.5" customHeight="1">
      <c r="A17" s="997" t="s">
        <v>394</v>
      </c>
      <c r="B17" s="1000">
        <v>45</v>
      </c>
      <c r="C17" s="1000">
        <v>60</v>
      </c>
      <c r="D17" s="1000">
        <v>90</v>
      </c>
      <c r="E17" s="1000">
        <v>120</v>
      </c>
      <c r="F17" s="997" t="s">
        <v>388</v>
      </c>
    </row>
    <row r="18" spans="1:6" ht="22.5" customHeight="1">
      <c r="A18" s="997" t="s">
        <v>395</v>
      </c>
      <c r="B18" s="1000">
        <v>30</v>
      </c>
      <c r="C18" s="1000">
        <v>60</v>
      </c>
      <c r="D18" s="1000">
        <v>90</v>
      </c>
      <c r="E18" s="1000">
        <v>120</v>
      </c>
      <c r="F18" s="997" t="s">
        <v>388</v>
      </c>
    </row>
    <row r="19" spans="1:6" ht="21.75" customHeight="1">
      <c r="A19" s="997" t="s">
        <v>396</v>
      </c>
      <c r="B19" s="997" t="s">
        <v>388</v>
      </c>
      <c r="C19" s="1000">
        <v>60</v>
      </c>
      <c r="D19" s="1000">
        <v>90</v>
      </c>
      <c r="E19" s="1000">
        <v>120</v>
      </c>
      <c r="F19" s="997" t="s">
        <v>388</v>
      </c>
    </row>
    <row r="20" spans="1:6" ht="15.75">
      <c r="A20" s="999" t="s">
        <v>82</v>
      </c>
      <c r="B20" s="1233"/>
      <c r="C20" s="1233"/>
      <c r="D20" s="1233"/>
      <c r="E20" s="1233"/>
      <c r="F20" s="1233"/>
    </row>
    <row r="21" spans="1:6" ht="23.25" customHeight="1">
      <c r="A21" s="997" t="s">
        <v>393</v>
      </c>
      <c r="B21" s="1000">
        <v>60</v>
      </c>
      <c r="C21" s="1000">
        <v>60</v>
      </c>
      <c r="D21" s="1000">
        <v>90</v>
      </c>
      <c r="E21" s="1000">
        <v>120</v>
      </c>
      <c r="F21" s="1000">
        <v>129</v>
      </c>
    </row>
    <row r="22" spans="1:6" ht="20.25" customHeight="1">
      <c r="A22" s="997" t="s">
        <v>394</v>
      </c>
      <c r="B22" s="1000">
        <v>45</v>
      </c>
      <c r="C22" s="1000">
        <v>60</v>
      </c>
      <c r="D22" s="1000">
        <v>90</v>
      </c>
      <c r="E22" s="1000">
        <v>120</v>
      </c>
      <c r="F22" s="997" t="s">
        <v>388</v>
      </c>
    </row>
    <row r="23" spans="1:6" ht="23.25" customHeight="1">
      <c r="A23" s="997" t="s">
        <v>395</v>
      </c>
      <c r="B23" s="1000">
        <v>30</v>
      </c>
      <c r="C23" s="1000">
        <v>60</v>
      </c>
      <c r="D23" s="1000">
        <v>90</v>
      </c>
      <c r="E23" s="1000">
        <v>120</v>
      </c>
      <c r="F23" s="997" t="s">
        <v>388</v>
      </c>
    </row>
    <row r="24" spans="1:6" ht="18" customHeight="1">
      <c r="A24" s="997" t="s">
        <v>396</v>
      </c>
      <c r="B24" s="997" t="s">
        <v>388</v>
      </c>
      <c r="C24" s="1000">
        <v>60</v>
      </c>
      <c r="D24" s="1000">
        <v>90</v>
      </c>
      <c r="E24" s="1000">
        <v>120</v>
      </c>
      <c r="F24" s="997" t="s">
        <v>388</v>
      </c>
    </row>
    <row r="25" spans="1:6" ht="18" customHeight="1">
      <c r="A25" s="999" t="s">
        <v>397</v>
      </c>
      <c r="B25" s="1233"/>
      <c r="C25" s="1233"/>
      <c r="D25" s="1233"/>
      <c r="E25" s="1233"/>
      <c r="F25" s="1233"/>
    </row>
    <row r="26" spans="1:6" ht="16.5" customHeight="1">
      <c r="A26" s="997" t="s">
        <v>398</v>
      </c>
      <c r="B26" s="1000">
        <v>240</v>
      </c>
      <c r="C26" s="1000">
        <v>240</v>
      </c>
      <c r="D26" s="1000">
        <v>360</v>
      </c>
      <c r="E26" s="1000">
        <v>480</v>
      </c>
      <c r="F26" s="997" t="s">
        <v>388</v>
      </c>
    </row>
    <row r="27" spans="1:6" ht="22.5" customHeight="1">
      <c r="A27" s="997" t="s">
        <v>394</v>
      </c>
      <c r="B27" s="1000">
        <v>180</v>
      </c>
      <c r="C27" s="1000">
        <v>240</v>
      </c>
      <c r="D27" s="1000">
        <v>360</v>
      </c>
      <c r="E27" s="1000">
        <v>480</v>
      </c>
      <c r="F27" s="997" t="s">
        <v>388</v>
      </c>
    </row>
    <row r="28" spans="1:6" ht="14.25" customHeight="1">
      <c r="A28" s="997" t="s">
        <v>399</v>
      </c>
      <c r="B28" s="1000">
        <v>120</v>
      </c>
      <c r="C28" s="1000">
        <v>240</v>
      </c>
      <c r="D28" s="1000">
        <v>360</v>
      </c>
      <c r="E28" s="1000">
        <v>480</v>
      </c>
      <c r="F28" s="997" t="s">
        <v>388</v>
      </c>
    </row>
    <row r="29" spans="1:6" ht="24.75" customHeight="1">
      <c r="A29" s="999" t="s">
        <v>400</v>
      </c>
      <c r="B29" s="1233"/>
      <c r="C29" s="1233"/>
      <c r="D29" s="1233"/>
      <c r="E29" s="1233"/>
      <c r="F29" s="1233"/>
    </row>
    <row r="30" spans="1:6" ht="19.5" customHeight="1">
      <c r="A30" s="997" t="s">
        <v>387</v>
      </c>
      <c r="B30" s="1000">
        <v>130</v>
      </c>
      <c r="C30" s="997" t="s">
        <v>388</v>
      </c>
      <c r="D30" s="997" t="s">
        <v>388</v>
      </c>
      <c r="E30" s="997" t="s">
        <v>388</v>
      </c>
      <c r="F30" s="997" t="s">
        <v>388</v>
      </c>
    </row>
    <row r="31" spans="1:6" ht="24.75" customHeight="1">
      <c r="A31" s="997" t="s">
        <v>389</v>
      </c>
      <c r="B31" s="997" t="s">
        <v>388</v>
      </c>
      <c r="C31" s="1000">
        <v>260</v>
      </c>
      <c r="D31" s="1000">
        <v>390</v>
      </c>
      <c r="E31" s="1000">
        <v>520</v>
      </c>
      <c r="F31" s="997" t="s">
        <v>388</v>
      </c>
    </row>
    <row r="32" spans="1:6" ht="33" customHeight="1">
      <c r="A32" s="999" t="s">
        <v>401</v>
      </c>
      <c r="B32" s="997"/>
      <c r="C32" s="997"/>
      <c r="D32" s="997"/>
      <c r="E32" s="997"/>
      <c r="F32" s="997"/>
    </row>
    <row r="33" spans="1:6" ht="21.75" customHeight="1">
      <c r="A33" s="997" t="s">
        <v>402</v>
      </c>
      <c r="B33" s="1000">
        <v>130</v>
      </c>
      <c r="C33" s="1000">
        <v>260</v>
      </c>
      <c r="D33" s="1000">
        <v>390</v>
      </c>
      <c r="E33" s="1000">
        <v>520</v>
      </c>
      <c r="F33" s="997" t="s">
        <v>388</v>
      </c>
    </row>
  </sheetData>
  <sheetProtection/>
  <mergeCells count="9">
    <mergeCell ref="A1:F1"/>
    <mergeCell ref="B15:F15"/>
    <mergeCell ref="B20:F20"/>
    <mergeCell ref="B25:F25"/>
    <mergeCell ref="B29:F29"/>
    <mergeCell ref="B4:F4"/>
    <mergeCell ref="B6:F6"/>
    <mergeCell ref="B9:F9"/>
    <mergeCell ref="B12:F12"/>
  </mergeCells>
  <printOptions/>
  <pageMargins left="0.75" right="0.75" top="1" bottom="1" header="0" footer="0"/>
  <pageSetup horizontalDpi="120" verticalDpi="120" orientation="portrait" paperSize="9" r:id="rId1"/>
</worksheet>
</file>

<file path=xl/worksheets/sheet26.xml><?xml version="1.0" encoding="utf-8"?>
<worksheet xmlns="http://schemas.openxmlformats.org/spreadsheetml/2006/main" xmlns:r="http://schemas.openxmlformats.org/officeDocument/2006/relationships">
  <dimension ref="A1:N46"/>
  <sheetViews>
    <sheetView zoomScalePageLayoutView="0" workbookViewId="0" topLeftCell="A1">
      <selection activeCell="B15" sqref="B15"/>
    </sheetView>
  </sheetViews>
  <sheetFormatPr defaultColWidth="11.421875" defaultRowHeight="12.75"/>
  <cols>
    <col min="1" max="1" width="32.8515625" style="0" customWidth="1"/>
    <col min="2" max="2" width="6.00390625" style="0" bestFit="1" customWidth="1"/>
    <col min="3" max="6" width="5.140625" style="0" bestFit="1" customWidth="1"/>
    <col min="7" max="7" width="6.00390625" style="0" bestFit="1" customWidth="1"/>
    <col min="8" max="8" width="5.57421875" style="0" bestFit="1" customWidth="1"/>
    <col min="9" max="9" width="6.00390625" style="0" bestFit="1" customWidth="1"/>
    <col min="10" max="10" width="6.57421875" style="0" bestFit="1" customWidth="1"/>
    <col min="11" max="12" width="6.00390625" style="0" bestFit="1" customWidth="1"/>
    <col min="13" max="13" width="6.57421875" style="0" bestFit="1" customWidth="1"/>
    <col min="14" max="14" width="7.8515625" style="0" bestFit="1" customWidth="1"/>
  </cols>
  <sheetData>
    <row r="1" spans="1:14" ht="12.75">
      <c r="A1" s="1086" t="s">
        <v>104</v>
      </c>
      <c r="B1" s="1086"/>
      <c r="C1" s="1086"/>
      <c r="D1" s="1086"/>
      <c r="E1" s="1086"/>
      <c r="F1" s="1086"/>
      <c r="G1" s="1086"/>
      <c r="H1" s="1086"/>
      <c r="I1" s="1086"/>
      <c r="J1" s="1086"/>
      <c r="K1" s="1086"/>
      <c r="L1" s="1086"/>
      <c r="M1" s="1086"/>
      <c r="N1" s="1086"/>
    </row>
    <row r="2" spans="1:14" ht="13.5" thickBot="1">
      <c r="A2" s="157"/>
      <c r="B2" s="157"/>
      <c r="C2" s="157"/>
      <c r="D2" s="157"/>
      <c r="E2" s="157"/>
      <c r="F2" s="157"/>
      <c r="G2" s="157"/>
      <c r="H2" s="157"/>
      <c r="I2" s="157"/>
      <c r="J2" s="157"/>
      <c r="K2" s="157"/>
      <c r="L2" s="157"/>
      <c r="M2" s="157"/>
      <c r="N2" s="157"/>
    </row>
    <row r="3" spans="1:14" ht="13.5" thickBot="1">
      <c r="A3" s="530" t="s">
        <v>105</v>
      </c>
      <c r="B3" s="531" t="s">
        <v>106</v>
      </c>
      <c r="C3" s="532" t="s">
        <v>758</v>
      </c>
      <c r="D3" s="531" t="s">
        <v>80</v>
      </c>
      <c r="E3" s="532" t="s">
        <v>107</v>
      </c>
      <c r="F3" s="531" t="s">
        <v>108</v>
      </c>
      <c r="G3" s="532" t="s">
        <v>109</v>
      </c>
      <c r="H3" s="531" t="s">
        <v>110</v>
      </c>
      <c r="I3" s="532" t="s">
        <v>111</v>
      </c>
      <c r="J3" s="531" t="s">
        <v>112</v>
      </c>
      <c r="K3" s="532" t="s">
        <v>758</v>
      </c>
      <c r="L3" s="532" t="s">
        <v>112</v>
      </c>
      <c r="M3" s="533" t="s">
        <v>106</v>
      </c>
      <c r="N3" s="533" t="s">
        <v>784</v>
      </c>
    </row>
    <row r="4" spans="1:14" ht="12.75">
      <c r="A4" s="534" t="s">
        <v>113</v>
      </c>
      <c r="B4" s="535">
        <v>31</v>
      </c>
      <c r="C4" s="536">
        <v>31</v>
      </c>
      <c r="D4" s="535">
        <v>30</v>
      </c>
      <c r="E4" s="536">
        <v>31</v>
      </c>
      <c r="F4" s="535">
        <v>30</v>
      </c>
      <c r="G4" s="536">
        <v>31</v>
      </c>
      <c r="H4" s="535">
        <v>31</v>
      </c>
      <c r="I4" s="536">
        <v>28</v>
      </c>
      <c r="J4" s="535">
        <v>31</v>
      </c>
      <c r="K4" s="536">
        <v>30</v>
      </c>
      <c r="L4" s="536">
        <v>31</v>
      </c>
      <c r="M4" s="537">
        <v>30</v>
      </c>
      <c r="N4" s="537">
        <f>SUM(B4:M4)</f>
        <v>365</v>
      </c>
    </row>
    <row r="5" spans="1:14" ht="12.75">
      <c r="A5" s="538" t="s">
        <v>114</v>
      </c>
      <c r="B5" s="539">
        <v>1</v>
      </c>
      <c r="C5" s="540">
        <v>3</v>
      </c>
      <c r="D5" s="539">
        <v>3</v>
      </c>
      <c r="E5" s="540">
        <v>5</v>
      </c>
      <c r="F5" s="539">
        <v>5</v>
      </c>
      <c r="G5" s="540">
        <v>5</v>
      </c>
      <c r="H5" s="539">
        <v>5</v>
      </c>
      <c r="I5" s="540">
        <v>5</v>
      </c>
      <c r="J5" s="539">
        <v>5</v>
      </c>
      <c r="K5" s="540">
        <v>4</v>
      </c>
      <c r="L5" s="540">
        <v>4</v>
      </c>
      <c r="M5" s="541">
        <v>1</v>
      </c>
      <c r="N5" s="541"/>
    </row>
    <row r="6" spans="1:14" ht="12.75">
      <c r="A6" s="536" t="s">
        <v>115</v>
      </c>
      <c r="B6" s="535">
        <v>6</v>
      </c>
      <c r="C6" s="536">
        <v>5</v>
      </c>
      <c r="D6" s="535">
        <v>4</v>
      </c>
      <c r="E6" s="536">
        <v>5</v>
      </c>
      <c r="F6" s="535">
        <v>4</v>
      </c>
      <c r="G6" s="536">
        <v>6</v>
      </c>
      <c r="H6" s="535">
        <v>5</v>
      </c>
      <c r="I6" s="536">
        <v>4</v>
      </c>
      <c r="J6" s="535">
        <v>5</v>
      </c>
      <c r="K6" s="536">
        <v>4</v>
      </c>
      <c r="L6" s="536">
        <v>6</v>
      </c>
      <c r="M6" s="537">
        <v>5</v>
      </c>
      <c r="N6" s="537"/>
    </row>
    <row r="7" spans="1:14" ht="13.5" thickBot="1">
      <c r="A7" s="542" t="s">
        <v>116</v>
      </c>
      <c r="B7" s="543">
        <v>2</v>
      </c>
      <c r="C7" s="542">
        <v>2</v>
      </c>
      <c r="D7" s="543">
        <v>2</v>
      </c>
      <c r="E7" s="542">
        <v>2</v>
      </c>
      <c r="F7" s="543">
        <v>2</v>
      </c>
      <c r="G7" s="542">
        <v>2</v>
      </c>
      <c r="H7" s="543">
        <v>2</v>
      </c>
      <c r="I7" s="542">
        <v>2</v>
      </c>
      <c r="J7" s="543">
        <v>2</v>
      </c>
      <c r="K7" s="542">
        <v>2</v>
      </c>
      <c r="L7" s="542">
        <v>2</v>
      </c>
      <c r="M7" s="544">
        <v>2</v>
      </c>
      <c r="N7" s="544"/>
    </row>
    <row r="8" spans="1:14" ht="13.5" thickTop="1">
      <c r="A8" s="545" t="s">
        <v>117</v>
      </c>
      <c r="B8" s="546">
        <f aca="true" t="shared" si="0" ref="B8:M8">SUM(B5:B7)</f>
        <v>9</v>
      </c>
      <c r="C8" s="547">
        <f t="shared" si="0"/>
        <v>10</v>
      </c>
      <c r="D8" s="546">
        <f t="shared" si="0"/>
        <v>9</v>
      </c>
      <c r="E8" s="547">
        <f t="shared" si="0"/>
        <v>12</v>
      </c>
      <c r="F8" s="546">
        <f t="shared" si="0"/>
        <v>11</v>
      </c>
      <c r="G8" s="547">
        <f t="shared" si="0"/>
        <v>13</v>
      </c>
      <c r="H8" s="546">
        <f t="shared" si="0"/>
        <v>12</v>
      </c>
      <c r="I8" s="547">
        <f t="shared" si="0"/>
        <v>11</v>
      </c>
      <c r="J8" s="546">
        <f t="shared" si="0"/>
        <v>12</v>
      </c>
      <c r="K8" s="547">
        <f t="shared" si="0"/>
        <v>10</v>
      </c>
      <c r="L8" s="547">
        <f t="shared" si="0"/>
        <v>12</v>
      </c>
      <c r="M8" s="548">
        <f t="shared" si="0"/>
        <v>8</v>
      </c>
      <c r="N8" s="548"/>
    </row>
    <row r="9" spans="1:14" ht="12.75">
      <c r="A9" s="534" t="s">
        <v>118</v>
      </c>
      <c r="B9" s="549">
        <f aca="true" t="shared" si="1" ref="B9:M9">(B4-B8)</f>
        <v>22</v>
      </c>
      <c r="C9" s="534">
        <f t="shared" si="1"/>
        <v>21</v>
      </c>
      <c r="D9" s="549">
        <f t="shared" si="1"/>
        <v>21</v>
      </c>
      <c r="E9" s="534">
        <f t="shared" si="1"/>
        <v>19</v>
      </c>
      <c r="F9" s="549">
        <f t="shared" si="1"/>
        <v>19</v>
      </c>
      <c r="G9" s="534">
        <f t="shared" si="1"/>
        <v>18</v>
      </c>
      <c r="H9" s="549">
        <f t="shared" si="1"/>
        <v>19</v>
      </c>
      <c r="I9" s="534">
        <f t="shared" si="1"/>
        <v>17</v>
      </c>
      <c r="J9" s="549">
        <f t="shared" si="1"/>
        <v>19</v>
      </c>
      <c r="K9" s="534">
        <f t="shared" si="1"/>
        <v>20</v>
      </c>
      <c r="L9" s="534">
        <f t="shared" si="1"/>
        <v>19</v>
      </c>
      <c r="M9" s="550">
        <f t="shared" si="1"/>
        <v>22</v>
      </c>
      <c r="N9" s="550">
        <f>SUM(B9:M9)</f>
        <v>236</v>
      </c>
    </row>
    <row r="10" spans="1:14" ht="12.75">
      <c r="A10" s="540" t="s">
        <v>119</v>
      </c>
      <c r="B10" s="539">
        <v>10</v>
      </c>
      <c r="C10" s="540">
        <v>11</v>
      </c>
      <c r="D10" s="539">
        <v>12</v>
      </c>
      <c r="E10" s="540">
        <v>13</v>
      </c>
      <c r="F10" s="539">
        <v>14</v>
      </c>
      <c r="G10" s="540">
        <v>14</v>
      </c>
      <c r="H10" s="539">
        <v>15</v>
      </c>
      <c r="I10" s="540">
        <v>14</v>
      </c>
      <c r="J10" s="539">
        <v>13</v>
      </c>
      <c r="K10" s="540">
        <v>12</v>
      </c>
      <c r="L10" s="540">
        <v>11</v>
      </c>
      <c r="M10" s="541">
        <v>10</v>
      </c>
      <c r="N10" s="541"/>
    </row>
    <row r="11" spans="1:14" ht="12.75">
      <c r="A11" s="551" t="s">
        <v>120</v>
      </c>
      <c r="B11" s="535">
        <v>2</v>
      </c>
      <c r="C11" s="536">
        <v>2</v>
      </c>
      <c r="D11" s="535">
        <v>2</v>
      </c>
      <c r="E11" s="536">
        <v>3</v>
      </c>
      <c r="F11" s="535">
        <v>3</v>
      </c>
      <c r="G11" s="536">
        <v>4</v>
      </c>
      <c r="H11" s="535">
        <v>4</v>
      </c>
      <c r="I11" s="536">
        <v>4</v>
      </c>
      <c r="J11" s="535">
        <v>4</v>
      </c>
      <c r="K11" s="536">
        <v>3</v>
      </c>
      <c r="L11" s="536">
        <v>3</v>
      </c>
      <c r="M11" s="537">
        <v>2</v>
      </c>
      <c r="N11" s="537"/>
    </row>
    <row r="12" spans="1:14" ht="13.5" thickBot="1">
      <c r="A12" s="542" t="s">
        <v>121</v>
      </c>
      <c r="B12" s="543">
        <v>1</v>
      </c>
      <c r="C12" s="542">
        <v>1</v>
      </c>
      <c r="D12" s="543">
        <v>1</v>
      </c>
      <c r="E12" s="542">
        <v>1</v>
      </c>
      <c r="F12" s="543">
        <v>1</v>
      </c>
      <c r="G12" s="542">
        <v>1</v>
      </c>
      <c r="H12" s="543">
        <v>1</v>
      </c>
      <c r="I12" s="542">
        <v>1</v>
      </c>
      <c r="J12" s="543">
        <v>1</v>
      </c>
      <c r="K12" s="542">
        <v>1</v>
      </c>
      <c r="L12" s="542">
        <v>1</v>
      </c>
      <c r="M12" s="544">
        <v>1</v>
      </c>
      <c r="N12" s="544"/>
    </row>
    <row r="13" spans="1:14" ht="14.25" thickBot="1" thickTop="1">
      <c r="A13" s="536" t="s">
        <v>122</v>
      </c>
      <c r="B13" s="535">
        <f aca="true" t="shared" si="2" ref="B13:M13">SUM(B11:B12)</f>
        <v>3</v>
      </c>
      <c r="C13" s="536">
        <f t="shared" si="2"/>
        <v>3</v>
      </c>
      <c r="D13" s="535">
        <f t="shared" si="2"/>
        <v>3</v>
      </c>
      <c r="E13" s="536">
        <f t="shared" si="2"/>
        <v>4</v>
      </c>
      <c r="F13" s="535">
        <f t="shared" si="2"/>
        <v>4</v>
      </c>
      <c r="G13" s="536">
        <f t="shared" si="2"/>
        <v>5</v>
      </c>
      <c r="H13" s="535">
        <f t="shared" si="2"/>
        <v>5</v>
      </c>
      <c r="I13" s="536">
        <f t="shared" si="2"/>
        <v>5</v>
      </c>
      <c r="J13" s="535">
        <f t="shared" si="2"/>
        <v>5</v>
      </c>
      <c r="K13" s="536">
        <f t="shared" si="2"/>
        <v>4</v>
      </c>
      <c r="L13" s="536">
        <f t="shared" si="2"/>
        <v>4</v>
      </c>
      <c r="M13" s="537">
        <f t="shared" si="2"/>
        <v>3</v>
      </c>
      <c r="N13" s="537"/>
    </row>
    <row r="14" spans="1:14" ht="13.5" thickBot="1">
      <c r="A14" s="552" t="s">
        <v>123</v>
      </c>
      <c r="B14" s="553">
        <f aca="true" t="shared" si="3" ref="B14:M14">B10-B13</f>
        <v>7</v>
      </c>
      <c r="C14" s="552">
        <f t="shared" si="3"/>
        <v>8</v>
      </c>
      <c r="D14" s="553">
        <f t="shared" si="3"/>
        <v>9</v>
      </c>
      <c r="E14" s="552">
        <f t="shared" si="3"/>
        <v>9</v>
      </c>
      <c r="F14" s="553">
        <f t="shared" si="3"/>
        <v>10</v>
      </c>
      <c r="G14" s="552">
        <f t="shared" si="3"/>
        <v>9</v>
      </c>
      <c r="H14" s="552">
        <f t="shared" si="3"/>
        <v>10</v>
      </c>
      <c r="I14" s="552">
        <f t="shared" si="3"/>
        <v>9</v>
      </c>
      <c r="J14" s="553">
        <f t="shared" si="3"/>
        <v>8</v>
      </c>
      <c r="K14" s="552">
        <f t="shared" si="3"/>
        <v>8</v>
      </c>
      <c r="L14" s="552">
        <f t="shared" si="3"/>
        <v>7</v>
      </c>
      <c r="M14" s="554">
        <f t="shared" si="3"/>
        <v>7</v>
      </c>
      <c r="N14" s="554">
        <f>SUM(B14:M14)</f>
        <v>101</v>
      </c>
    </row>
    <row r="15" spans="1:14" ht="13.5" thickBot="1">
      <c r="A15" s="552" t="s">
        <v>124</v>
      </c>
      <c r="B15" s="553">
        <f aca="true" t="shared" si="4" ref="B15:M15">B9*B14</f>
        <v>154</v>
      </c>
      <c r="C15" s="552">
        <f t="shared" si="4"/>
        <v>168</v>
      </c>
      <c r="D15" s="553">
        <f t="shared" si="4"/>
        <v>189</v>
      </c>
      <c r="E15" s="552">
        <f t="shared" si="4"/>
        <v>171</v>
      </c>
      <c r="F15" s="552">
        <f t="shared" si="4"/>
        <v>190</v>
      </c>
      <c r="G15" s="553">
        <f t="shared" si="4"/>
        <v>162</v>
      </c>
      <c r="H15" s="552">
        <f t="shared" si="4"/>
        <v>190</v>
      </c>
      <c r="I15" s="552">
        <f t="shared" si="4"/>
        <v>153</v>
      </c>
      <c r="J15" s="553">
        <f t="shared" si="4"/>
        <v>152</v>
      </c>
      <c r="K15" s="552">
        <f t="shared" si="4"/>
        <v>160</v>
      </c>
      <c r="L15" s="552">
        <f t="shared" si="4"/>
        <v>133</v>
      </c>
      <c r="M15" s="554">
        <f t="shared" si="4"/>
        <v>154</v>
      </c>
      <c r="N15" s="554">
        <f>SUM(B15:M15)</f>
        <v>1976</v>
      </c>
    </row>
    <row r="16" spans="1:14" ht="12.75">
      <c r="A16" s="157"/>
      <c r="B16" s="157"/>
      <c r="C16" s="157"/>
      <c r="D16" s="157"/>
      <c r="E16" s="157"/>
      <c r="F16" s="157"/>
      <c r="G16" s="157"/>
      <c r="H16" s="157"/>
      <c r="I16" s="157"/>
      <c r="J16" s="157"/>
      <c r="K16" s="157"/>
      <c r="L16" s="157"/>
      <c r="M16" s="157"/>
      <c r="N16" s="157"/>
    </row>
    <row r="17" spans="1:14" ht="12.75">
      <c r="A17" s="157"/>
      <c r="B17" s="157"/>
      <c r="C17" s="157"/>
      <c r="D17" s="157"/>
      <c r="E17" s="157"/>
      <c r="F17" s="157"/>
      <c r="G17" s="157"/>
      <c r="H17" s="157"/>
      <c r="I17" s="157"/>
      <c r="J17" s="157"/>
      <c r="K17" s="157"/>
      <c r="L17" s="157"/>
      <c r="M17" s="157"/>
      <c r="N17" s="157"/>
    </row>
    <row r="18" spans="1:14" ht="13.5" thickBot="1">
      <c r="A18" s="157"/>
      <c r="B18" s="157"/>
      <c r="C18" s="157"/>
      <c r="D18" s="157"/>
      <c r="E18" s="157"/>
      <c r="F18" s="157"/>
      <c r="G18" s="157"/>
      <c r="H18" s="157"/>
      <c r="I18" s="157"/>
      <c r="J18" s="157"/>
      <c r="K18" s="157"/>
      <c r="L18" s="157"/>
      <c r="M18" s="157"/>
      <c r="N18" s="157"/>
    </row>
    <row r="19" spans="1:14" ht="13.5" thickBot="1">
      <c r="A19" s="552" t="s">
        <v>125</v>
      </c>
      <c r="B19" s="553">
        <f aca="true" t="shared" si="5" ref="B19:M19">1*B15</f>
        <v>154</v>
      </c>
      <c r="C19" s="552">
        <f t="shared" si="5"/>
        <v>168</v>
      </c>
      <c r="D19" s="553">
        <f t="shared" si="5"/>
        <v>189</v>
      </c>
      <c r="E19" s="552">
        <f t="shared" si="5"/>
        <v>171</v>
      </c>
      <c r="F19" s="553">
        <f t="shared" si="5"/>
        <v>190</v>
      </c>
      <c r="G19" s="552">
        <f t="shared" si="5"/>
        <v>162</v>
      </c>
      <c r="H19" s="553">
        <f t="shared" si="5"/>
        <v>190</v>
      </c>
      <c r="I19" s="552">
        <f t="shared" si="5"/>
        <v>153</v>
      </c>
      <c r="J19" s="553">
        <f t="shared" si="5"/>
        <v>152</v>
      </c>
      <c r="K19" s="552">
        <f t="shared" si="5"/>
        <v>160</v>
      </c>
      <c r="L19" s="553">
        <f t="shared" si="5"/>
        <v>133</v>
      </c>
      <c r="M19" s="552">
        <f t="shared" si="5"/>
        <v>154</v>
      </c>
      <c r="N19" s="552">
        <f>SUM(B19:M19)</f>
        <v>1976</v>
      </c>
    </row>
    <row r="20" spans="1:14" ht="13.5" thickBot="1">
      <c r="A20" s="552" t="s">
        <v>126</v>
      </c>
      <c r="B20" s="553">
        <v>49.5</v>
      </c>
      <c r="C20" s="552">
        <f>1*C16</f>
        <v>0</v>
      </c>
      <c r="D20" s="553">
        <v>72</v>
      </c>
      <c r="E20" s="552">
        <v>74.1</v>
      </c>
      <c r="F20" s="553">
        <v>45</v>
      </c>
      <c r="G20" s="552">
        <v>43.2</v>
      </c>
      <c r="H20" s="555">
        <v>224.4</v>
      </c>
      <c r="I20" s="552">
        <v>142.7</v>
      </c>
      <c r="J20" s="553">
        <v>267.6</v>
      </c>
      <c r="K20" s="552">
        <v>35.1</v>
      </c>
      <c r="L20" s="553">
        <v>175.1</v>
      </c>
      <c r="M20" s="552">
        <v>45</v>
      </c>
      <c r="N20" s="552">
        <f>SUM(B20:M20)</f>
        <v>1173.7</v>
      </c>
    </row>
    <row r="21" spans="1:14" ht="13.5" thickBot="1">
      <c r="A21" s="552" t="s">
        <v>127</v>
      </c>
      <c r="B21" s="553">
        <f aca="true" t="shared" si="6" ref="B21:N21">B19-B20</f>
        <v>104.5</v>
      </c>
      <c r="C21" s="552">
        <f t="shared" si="6"/>
        <v>168</v>
      </c>
      <c r="D21" s="553">
        <f t="shared" si="6"/>
        <v>117</v>
      </c>
      <c r="E21" s="552">
        <f t="shared" si="6"/>
        <v>96.9</v>
      </c>
      <c r="F21" s="553">
        <f t="shared" si="6"/>
        <v>145</v>
      </c>
      <c r="G21" s="552">
        <f t="shared" si="6"/>
        <v>118.8</v>
      </c>
      <c r="H21" s="553">
        <f t="shared" si="6"/>
        <v>-34.400000000000006</v>
      </c>
      <c r="I21" s="552">
        <f t="shared" si="6"/>
        <v>10.300000000000011</v>
      </c>
      <c r="J21" s="553">
        <f t="shared" si="6"/>
        <v>-115.60000000000002</v>
      </c>
      <c r="K21" s="552">
        <f t="shared" si="6"/>
        <v>124.9</v>
      </c>
      <c r="L21" s="553">
        <f t="shared" si="6"/>
        <v>-42.099999999999994</v>
      </c>
      <c r="M21" s="552">
        <f t="shared" si="6"/>
        <v>109</v>
      </c>
      <c r="N21" s="552">
        <f t="shared" si="6"/>
        <v>802.3</v>
      </c>
    </row>
    <row r="22" spans="1:14" ht="12.75">
      <c r="A22" s="157"/>
      <c r="B22" s="157"/>
      <c r="C22" s="157"/>
      <c r="D22" s="157"/>
      <c r="E22" s="157"/>
      <c r="F22" s="157"/>
      <c r="G22" s="157"/>
      <c r="H22" s="157"/>
      <c r="I22" s="157"/>
      <c r="J22" s="157"/>
      <c r="K22" s="157"/>
      <c r="L22" s="157"/>
      <c r="M22" s="157"/>
      <c r="N22" s="157"/>
    </row>
    <row r="23" spans="1:14" ht="13.5" thickBot="1">
      <c r="A23" s="157"/>
      <c r="B23" s="157"/>
      <c r="C23" s="157"/>
      <c r="D23" s="157"/>
      <c r="E23" s="157"/>
      <c r="F23" s="157"/>
      <c r="G23" s="157"/>
      <c r="H23" s="157"/>
      <c r="I23" s="157"/>
      <c r="J23" s="157"/>
      <c r="K23" s="157"/>
      <c r="L23" s="157"/>
      <c r="M23" s="157"/>
      <c r="N23" s="157"/>
    </row>
    <row r="24" spans="1:14" ht="13.5" thickBot="1">
      <c r="A24" s="552" t="s">
        <v>128</v>
      </c>
      <c r="B24" s="553">
        <f aca="true" t="shared" si="7" ref="B24:N24">1*B19</f>
        <v>154</v>
      </c>
      <c r="C24" s="552">
        <f t="shared" si="7"/>
        <v>168</v>
      </c>
      <c r="D24" s="553">
        <f t="shared" si="7"/>
        <v>189</v>
      </c>
      <c r="E24" s="552">
        <f t="shared" si="7"/>
        <v>171</v>
      </c>
      <c r="F24" s="553">
        <f t="shared" si="7"/>
        <v>190</v>
      </c>
      <c r="G24" s="552">
        <f t="shared" si="7"/>
        <v>162</v>
      </c>
      <c r="H24" s="553">
        <f t="shared" si="7"/>
        <v>190</v>
      </c>
      <c r="I24" s="552">
        <f t="shared" si="7"/>
        <v>153</v>
      </c>
      <c r="J24" s="552">
        <f t="shared" si="7"/>
        <v>152</v>
      </c>
      <c r="K24" s="553">
        <f t="shared" si="7"/>
        <v>160</v>
      </c>
      <c r="L24" s="552">
        <f t="shared" si="7"/>
        <v>133</v>
      </c>
      <c r="M24" s="553">
        <f t="shared" si="7"/>
        <v>154</v>
      </c>
      <c r="N24" s="552">
        <f t="shared" si="7"/>
        <v>1976</v>
      </c>
    </row>
    <row r="25" spans="1:14" ht="13.5" thickBot="1">
      <c r="A25" s="552" t="s">
        <v>126</v>
      </c>
      <c r="B25" s="553">
        <v>10</v>
      </c>
      <c r="C25" s="552">
        <v>10</v>
      </c>
      <c r="D25" s="553">
        <v>10</v>
      </c>
      <c r="E25" s="552">
        <v>10</v>
      </c>
      <c r="F25" s="553">
        <v>94.6</v>
      </c>
      <c r="G25" s="552">
        <v>10</v>
      </c>
      <c r="H25" s="553">
        <v>10</v>
      </c>
      <c r="I25" s="552">
        <v>10</v>
      </c>
      <c r="J25" s="552">
        <v>72.7</v>
      </c>
      <c r="K25" s="552">
        <v>56</v>
      </c>
      <c r="L25" s="552">
        <v>10</v>
      </c>
      <c r="M25" s="552">
        <v>318.9</v>
      </c>
      <c r="N25" s="552">
        <f>SUM(B25:M25)</f>
        <v>622.2</v>
      </c>
    </row>
    <row r="26" spans="1:14" ht="13.5" thickBot="1">
      <c r="A26" s="552" t="s">
        <v>129</v>
      </c>
      <c r="B26" s="553">
        <f aca="true" t="shared" si="8" ref="B26:N26">B24-B25</f>
        <v>144</v>
      </c>
      <c r="C26" s="552">
        <f t="shared" si="8"/>
        <v>158</v>
      </c>
      <c r="D26" s="553">
        <f t="shared" si="8"/>
        <v>179</v>
      </c>
      <c r="E26" s="552">
        <f t="shared" si="8"/>
        <v>161</v>
      </c>
      <c r="F26" s="553">
        <f t="shared" si="8"/>
        <v>95.4</v>
      </c>
      <c r="G26" s="552">
        <f t="shared" si="8"/>
        <v>152</v>
      </c>
      <c r="H26" s="553">
        <f t="shared" si="8"/>
        <v>180</v>
      </c>
      <c r="I26" s="552">
        <f t="shared" si="8"/>
        <v>143</v>
      </c>
      <c r="J26" s="552">
        <f t="shared" si="8"/>
        <v>79.3</v>
      </c>
      <c r="K26" s="553">
        <f t="shared" si="8"/>
        <v>104</v>
      </c>
      <c r="L26" s="552">
        <f t="shared" si="8"/>
        <v>123</v>
      </c>
      <c r="M26" s="553">
        <f t="shared" si="8"/>
        <v>-164.89999999999998</v>
      </c>
      <c r="N26" s="552">
        <f t="shared" si="8"/>
        <v>1353.8</v>
      </c>
    </row>
    <row r="27" spans="1:14" ht="12.75">
      <c r="A27" s="157"/>
      <c r="B27" s="157"/>
      <c r="C27" s="157"/>
      <c r="D27" s="157"/>
      <c r="E27" s="157"/>
      <c r="F27" s="157"/>
      <c r="G27" s="157"/>
      <c r="H27" s="157"/>
      <c r="I27" s="157"/>
      <c r="J27" s="157"/>
      <c r="K27" s="157"/>
      <c r="L27" s="157"/>
      <c r="M27" s="157"/>
      <c r="N27" s="157"/>
    </row>
    <row r="28" spans="1:14" ht="12.75">
      <c r="A28" s="157"/>
      <c r="B28" s="157"/>
      <c r="C28" s="157"/>
      <c r="D28" s="157"/>
      <c r="E28" s="157"/>
      <c r="F28" s="157"/>
      <c r="G28" s="157"/>
      <c r="H28" s="157"/>
      <c r="I28" s="157"/>
      <c r="J28" s="157"/>
      <c r="K28" s="157"/>
      <c r="L28" s="157"/>
      <c r="M28" s="157"/>
      <c r="N28" s="157"/>
    </row>
    <row r="29" spans="1:14" ht="12.75">
      <c r="A29" s="157"/>
      <c r="B29" s="157"/>
      <c r="C29" s="157"/>
      <c r="D29" s="157"/>
      <c r="E29" s="157"/>
      <c r="F29" s="157"/>
      <c r="G29" s="157"/>
      <c r="H29" s="157"/>
      <c r="I29" s="157"/>
      <c r="J29" s="157"/>
      <c r="K29" s="157"/>
      <c r="L29" s="157"/>
      <c r="M29" s="157"/>
      <c r="N29" s="157"/>
    </row>
    <row r="30" spans="1:14" ht="12.75">
      <c r="A30" s="157"/>
      <c r="B30" s="157"/>
      <c r="C30" s="157"/>
      <c r="D30" s="157"/>
      <c r="E30" s="157"/>
      <c r="F30" s="157"/>
      <c r="G30" s="157"/>
      <c r="H30" s="157"/>
      <c r="I30" s="157"/>
      <c r="J30" s="157"/>
      <c r="K30" s="157"/>
      <c r="L30" s="157"/>
      <c r="M30" s="157"/>
      <c r="N30" s="157"/>
    </row>
    <row r="32" spans="1:13" ht="18">
      <c r="A32" s="1234" t="s">
        <v>130</v>
      </c>
      <c r="B32" s="1234"/>
      <c r="C32" s="1234"/>
      <c r="D32" s="1234"/>
      <c r="E32" s="1234"/>
      <c r="F32" s="1234"/>
      <c r="G32" s="1234"/>
      <c r="H32" s="1234"/>
      <c r="I32" s="1234"/>
      <c r="J32" s="1234"/>
      <c r="K32" s="1234"/>
      <c r="L32" s="1234"/>
      <c r="M32" s="1234"/>
    </row>
    <row r="33" ht="13.5" thickBot="1"/>
    <row r="34" spans="1:13" ht="13.5" thickBot="1">
      <c r="A34" s="530" t="s">
        <v>105</v>
      </c>
      <c r="B34" s="531" t="s">
        <v>106</v>
      </c>
      <c r="C34" s="532" t="s">
        <v>758</v>
      </c>
      <c r="D34" s="531" t="s">
        <v>80</v>
      </c>
      <c r="E34" s="532" t="s">
        <v>107</v>
      </c>
      <c r="F34" s="531" t="s">
        <v>108</v>
      </c>
      <c r="G34" s="532" t="s">
        <v>109</v>
      </c>
      <c r="H34" s="531" t="s">
        <v>110</v>
      </c>
      <c r="I34" s="532" t="s">
        <v>111</v>
      </c>
      <c r="J34" s="531" t="s">
        <v>112</v>
      </c>
      <c r="K34" s="532" t="s">
        <v>758</v>
      </c>
      <c r="L34" s="532" t="s">
        <v>112</v>
      </c>
      <c r="M34" s="533" t="s">
        <v>106</v>
      </c>
    </row>
    <row r="35" spans="1:13" ht="12.75">
      <c r="A35" s="534" t="s">
        <v>113</v>
      </c>
      <c r="B35" s="356">
        <v>31</v>
      </c>
      <c r="C35" s="59">
        <v>31</v>
      </c>
      <c r="D35" s="356">
        <v>30</v>
      </c>
      <c r="E35" s="59">
        <v>31</v>
      </c>
      <c r="F35" s="356">
        <v>30</v>
      </c>
      <c r="G35" s="59">
        <v>31</v>
      </c>
      <c r="H35" s="356">
        <v>30</v>
      </c>
      <c r="I35" s="59">
        <v>28</v>
      </c>
      <c r="J35" s="356">
        <v>31</v>
      </c>
      <c r="K35" s="59">
        <v>30</v>
      </c>
      <c r="L35" s="59">
        <v>31</v>
      </c>
      <c r="M35" s="556">
        <v>30</v>
      </c>
    </row>
    <row r="36" spans="1:13" ht="12.75">
      <c r="A36" s="538" t="s">
        <v>114</v>
      </c>
      <c r="B36" s="147">
        <v>1</v>
      </c>
      <c r="C36" s="378">
        <v>3</v>
      </c>
      <c r="D36" s="147">
        <v>3</v>
      </c>
      <c r="E36" s="378">
        <v>5</v>
      </c>
      <c r="F36" s="147">
        <v>5</v>
      </c>
      <c r="G36" s="378">
        <v>5</v>
      </c>
      <c r="H36" s="147">
        <v>5</v>
      </c>
      <c r="I36" s="378">
        <v>5</v>
      </c>
      <c r="J36" s="147">
        <v>5</v>
      </c>
      <c r="K36" s="378">
        <v>4</v>
      </c>
      <c r="L36" s="378">
        <v>4</v>
      </c>
      <c r="M36" s="557">
        <v>1</v>
      </c>
    </row>
    <row r="37" spans="1:13" ht="12.75">
      <c r="A37" s="59" t="s">
        <v>115</v>
      </c>
      <c r="B37" s="356">
        <v>5</v>
      </c>
      <c r="C37" s="59">
        <v>5</v>
      </c>
      <c r="D37" s="356">
        <v>4</v>
      </c>
      <c r="E37" s="59">
        <v>6</v>
      </c>
      <c r="F37" s="356">
        <v>4</v>
      </c>
      <c r="G37" s="59">
        <v>7</v>
      </c>
      <c r="H37" s="356">
        <v>5</v>
      </c>
      <c r="I37" s="59">
        <v>4</v>
      </c>
      <c r="J37" s="356">
        <v>4</v>
      </c>
      <c r="K37" s="59">
        <v>5</v>
      </c>
      <c r="L37" s="59">
        <v>6</v>
      </c>
      <c r="M37" s="556">
        <v>5</v>
      </c>
    </row>
    <row r="38" spans="1:13" ht="13.5" thickBot="1">
      <c r="A38" s="558" t="s">
        <v>116</v>
      </c>
      <c r="B38" s="559">
        <v>2</v>
      </c>
      <c r="C38" s="558">
        <v>2</v>
      </c>
      <c r="D38" s="559">
        <v>2</v>
      </c>
      <c r="E38" s="558">
        <v>2</v>
      </c>
      <c r="F38" s="559">
        <v>2</v>
      </c>
      <c r="G38" s="558">
        <v>2</v>
      </c>
      <c r="H38" s="559">
        <v>2</v>
      </c>
      <c r="I38" s="558">
        <v>2</v>
      </c>
      <c r="J38" s="559">
        <v>2</v>
      </c>
      <c r="K38" s="558">
        <v>2</v>
      </c>
      <c r="L38" s="558">
        <v>2</v>
      </c>
      <c r="M38" s="560">
        <v>2</v>
      </c>
    </row>
    <row r="39" spans="1:13" ht="13.5" thickTop="1">
      <c r="A39" s="545" t="s">
        <v>117</v>
      </c>
      <c r="B39" s="382">
        <f aca="true" t="shared" si="9" ref="B39:M39">SUM(B36:B38)</f>
        <v>8</v>
      </c>
      <c r="C39" s="381">
        <f t="shared" si="9"/>
        <v>10</v>
      </c>
      <c r="D39" s="382">
        <f t="shared" si="9"/>
        <v>9</v>
      </c>
      <c r="E39" s="381">
        <f t="shared" si="9"/>
        <v>13</v>
      </c>
      <c r="F39" s="382">
        <f t="shared" si="9"/>
        <v>11</v>
      </c>
      <c r="G39" s="381">
        <f t="shared" si="9"/>
        <v>14</v>
      </c>
      <c r="H39" s="382">
        <f t="shared" si="9"/>
        <v>12</v>
      </c>
      <c r="I39" s="381">
        <f t="shared" si="9"/>
        <v>11</v>
      </c>
      <c r="J39" s="382">
        <f t="shared" si="9"/>
        <v>11</v>
      </c>
      <c r="K39" s="381">
        <f t="shared" si="9"/>
        <v>11</v>
      </c>
      <c r="L39" s="381">
        <f t="shared" si="9"/>
        <v>12</v>
      </c>
      <c r="M39" s="561">
        <f t="shared" si="9"/>
        <v>8</v>
      </c>
    </row>
    <row r="40" spans="1:13" ht="15">
      <c r="A40" s="534" t="s">
        <v>118</v>
      </c>
      <c r="B40" s="562">
        <f aca="true" t="shared" si="10" ref="B40:M40">(B35-B39)</f>
        <v>23</v>
      </c>
      <c r="C40" s="563">
        <f t="shared" si="10"/>
        <v>21</v>
      </c>
      <c r="D40" s="562">
        <f t="shared" si="10"/>
        <v>21</v>
      </c>
      <c r="E40" s="563">
        <f t="shared" si="10"/>
        <v>18</v>
      </c>
      <c r="F40" s="562">
        <f t="shared" si="10"/>
        <v>19</v>
      </c>
      <c r="G40" s="563">
        <f t="shared" si="10"/>
        <v>17</v>
      </c>
      <c r="H40" s="562">
        <f t="shared" si="10"/>
        <v>18</v>
      </c>
      <c r="I40" s="563">
        <f t="shared" si="10"/>
        <v>17</v>
      </c>
      <c r="J40" s="562">
        <f t="shared" si="10"/>
        <v>20</v>
      </c>
      <c r="K40" s="563">
        <f t="shared" si="10"/>
        <v>19</v>
      </c>
      <c r="L40" s="563">
        <f t="shared" si="10"/>
        <v>19</v>
      </c>
      <c r="M40" s="564">
        <f t="shared" si="10"/>
        <v>22</v>
      </c>
    </row>
    <row r="41" spans="1:13" ht="12.75">
      <c r="A41" s="378" t="s">
        <v>119</v>
      </c>
      <c r="B41" s="147">
        <v>10</v>
      </c>
      <c r="C41" s="378">
        <v>16</v>
      </c>
      <c r="D41" s="147">
        <v>16</v>
      </c>
      <c r="E41" s="378">
        <v>17</v>
      </c>
      <c r="F41" s="147">
        <v>18</v>
      </c>
      <c r="G41" s="378">
        <v>18</v>
      </c>
      <c r="H41" s="147">
        <v>19</v>
      </c>
      <c r="I41" s="378">
        <v>17</v>
      </c>
      <c r="J41" s="147">
        <v>16</v>
      </c>
      <c r="K41" s="378">
        <v>12</v>
      </c>
      <c r="L41" s="378">
        <v>11</v>
      </c>
      <c r="M41" s="557">
        <v>10</v>
      </c>
    </row>
    <row r="42" spans="1:13" ht="12.75">
      <c r="A42" s="551" t="s">
        <v>131</v>
      </c>
      <c r="B42" s="356">
        <v>2</v>
      </c>
      <c r="C42" s="59">
        <v>2</v>
      </c>
      <c r="D42" s="356">
        <v>2</v>
      </c>
      <c r="E42" s="59">
        <v>3</v>
      </c>
      <c r="F42" s="356">
        <v>3</v>
      </c>
      <c r="G42" s="59">
        <v>4</v>
      </c>
      <c r="H42" s="356">
        <v>4</v>
      </c>
      <c r="I42" s="59">
        <v>4</v>
      </c>
      <c r="J42" s="356">
        <v>4</v>
      </c>
      <c r="K42" s="59">
        <v>3</v>
      </c>
      <c r="L42" s="59">
        <v>3</v>
      </c>
      <c r="M42" s="556">
        <v>2</v>
      </c>
    </row>
    <row r="43" spans="1:13" ht="13.5" thickBot="1">
      <c r="A43" s="558" t="s">
        <v>121</v>
      </c>
      <c r="B43" s="559">
        <v>1</v>
      </c>
      <c r="C43" s="558">
        <v>1</v>
      </c>
      <c r="D43" s="559">
        <v>1</v>
      </c>
      <c r="E43" s="558">
        <v>1</v>
      </c>
      <c r="F43" s="559">
        <v>1</v>
      </c>
      <c r="G43" s="558">
        <v>1</v>
      </c>
      <c r="H43" s="559">
        <v>1</v>
      </c>
      <c r="I43" s="558">
        <v>1</v>
      </c>
      <c r="J43" s="559">
        <v>1</v>
      </c>
      <c r="K43" s="558">
        <v>1</v>
      </c>
      <c r="L43" s="558">
        <v>1</v>
      </c>
      <c r="M43" s="560">
        <v>1</v>
      </c>
    </row>
    <row r="44" spans="1:13" ht="14.25" thickBot="1" thickTop="1">
      <c r="A44" s="59" t="s">
        <v>122</v>
      </c>
      <c r="B44" s="356">
        <f aca="true" t="shared" si="11" ref="B44:M44">SUM(B42:B43)</f>
        <v>3</v>
      </c>
      <c r="C44" s="59">
        <f t="shared" si="11"/>
        <v>3</v>
      </c>
      <c r="D44" s="356">
        <f t="shared" si="11"/>
        <v>3</v>
      </c>
      <c r="E44" s="59">
        <f t="shared" si="11"/>
        <v>4</v>
      </c>
      <c r="F44" s="356">
        <f t="shared" si="11"/>
        <v>4</v>
      </c>
      <c r="G44" s="59">
        <f t="shared" si="11"/>
        <v>5</v>
      </c>
      <c r="H44" s="356">
        <f t="shared" si="11"/>
        <v>5</v>
      </c>
      <c r="I44" s="59">
        <f t="shared" si="11"/>
        <v>5</v>
      </c>
      <c r="J44" s="356">
        <f t="shared" si="11"/>
        <v>5</v>
      </c>
      <c r="K44" s="59">
        <f t="shared" si="11"/>
        <v>4</v>
      </c>
      <c r="L44" s="59">
        <f t="shared" si="11"/>
        <v>4</v>
      </c>
      <c r="M44" s="556">
        <f t="shared" si="11"/>
        <v>3</v>
      </c>
    </row>
    <row r="45" spans="1:13" ht="15.75" thickBot="1">
      <c r="A45" s="552" t="s">
        <v>123</v>
      </c>
      <c r="B45" s="565">
        <f aca="true" t="shared" si="12" ref="B45:M45">B41-B44</f>
        <v>7</v>
      </c>
      <c r="C45" s="566">
        <f t="shared" si="12"/>
        <v>13</v>
      </c>
      <c r="D45" s="565">
        <f t="shared" si="12"/>
        <v>13</v>
      </c>
      <c r="E45" s="566">
        <f t="shared" si="12"/>
        <v>13</v>
      </c>
      <c r="F45" s="565">
        <f t="shared" si="12"/>
        <v>14</v>
      </c>
      <c r="G45" s="566">
        <f t="shared" si="12"/>
        <v>13</v>
      </c>
      <c r="H45" s="565">
        <f t="shared" si="12"/>
        <v>14</v>
      </c>
      <c r="I45" s="566">
        <f t="shared" si="12"/>
        <v>12</v>
      </c>
      <c r="J45" s="565">
        <f t="shared" si="12"/>
        <v>11</v>
      </c>
      <c r="K45" s="566">
        <f t="shared" si="12"/>
        <v>8</v>
      </c>
      <c r="L45" s="566">
        <f t="shared" si="12"/>
        <v>7</v>
      </c>
      <c r="M45" s="567">
        <f t="shared" si="12"/>
        <v>7</v>
      </c>
    </row>
    <row r="46" spans="1:13" ht="16.5" thickBot="1">
      <c r="A46" s="552" t="s">
        <v>124</v>
      </c>
      <c r="B46" s="568">
        <f aca="true" t="shared" si="13" ref="B46:M46">B40*B45</f>
        <v>161</v>
      </c>
      <c r="C46" s="569">
        <f t="shared" si="13"/>
        <v>273</v>
      </c>
      <c r="D46" s="568">
        <f t="shared" si="13"/>
        <v>273</v>
      </c>
      <c r="E46" s="569">
        <f t="shared" si="13"/>
        <v>234</v>
      </c>
      <c r="F46" s="568">
        <f t="shared" si="13"/>
        <v>266</v>
      </c>
      <c r="G46" s="569">
        <f t="shared" si="13"/>
        <v>221</v>
      </c>
      <c r="H46" s="568">
        <f t="shared" si="13"/>
        <v>252</v>
      </c>
      <c r="I46" s="569">
        <f t="shared" si="13"/>
        <v>204</v>
      </c>
      <c r="J46" s="568">
        <f t="shared" si="13"/>
        <v>220</v>
      </c>
      <c r="K46" s="569">
        <f t="shared" si="13"/>
        <v>152</v>
      </c>
      <c r="L46" s="569">
        <f t="shared" si="13"/>
        <v>133</v>
      </c>
      <c r="M46" s="570">
        <f t="shared" si="13"/>
        <v>154</v>
      </c>
    </row>
  </sheetData>
  <sheetProtection/>
  <mergeCells count="2">
    <mergeCell ref="A1:N1"/>
    <mergeCell ref="A32:M32"/>
  </mergeCells>
  <printOptions/>
  <pageMargins left="0.75" right="0.75" top="1" bottom="1" header="0" footer="0"/>
  <pageSetup orientation="portrait" paperSize="9"/>
</worksheet>
</file>

<file path=xl/worksheets/sheet27.xml><?xml version="1.0" encoding="utf-8"?>
<worksheet xmlns="http://schemas.openxmlformats.org/spreadsheetml/2006/main" xmlns:r="http://schemas.openxmlformats.org/officeDocument/2006/relationships">
  <dimension ref="A1:AD151"/>
  <sheetViews>
    <sheetView showGridLines="0" zoomScalePageLayoutView="0" workbookViewId="0" topLeftCell="M1">
      <selection activeCell="AD15" sqref="AD15"/>
    </sheetView>
  </sheetViews>
  <sheetFormatPr defaultColWidth="11.421875" defaultRowHeight="12.75"/>
  <cols>
    <col min="2" max="2" width="7.421875" style="0" customWidth="1"/>
    <col min="3" max="3" width="10.28125" style="0" customWidth="1"/>
    <col min="4" max="7" width="13.7109375" style="0" customWidth="1"/>
    <col min="8" max="8" width="15.140625" style="0" customWidth="1"/>
    <col min="11" max="11" width="28.00390625" style="0" customWidth="1"/>
    <col min="21" max="21" width="14.7109375" style="0" customWidth="1"/>
    <col min="29" max="29" width="13.7109375" style="0" customWidth="1"/>
    <col min="30" max="30" width="31.421875" style="0" customWidth="1"/>
  </cols>
  <sheetData>
    <row r="1" spans="1:24" ht="13.5" thickTop="1">
      <c r="A1" s="1003" t="s">
        <v>403</v>
      </c>
      <c r="W1" s="1004" t="s">
        <v>404</v>
      </c>
      <c r="X1" s="1005"/>
    </row>
    <row r="2" spans="1:24" ht="13.5" thickBot="1">
      <c r="A2" s="1003"/>
      <c r="W2" s="1006"/>
      <c r="X2" s="1007"/>
    </row>
    <row r="3" spans="1:24" ht="13.5" thickBot="1">
      <c r="A3" s="1003" t="s">
        <v>501</v>
      </c>
      <c r="D3" s="1022" t="s">
        <v>502</v>
      </c>
      <c r="E3" s="1023">
        <v>0.1</v>
      </c>
      <c r="I3" s="1249" t="s">
        <v>493</v>
      </c>
      <c r="J3" s="1250"/>
      <c r="K3" s="1251"/>
      <c r="N3" s="1235" t="s">
        <v>406</v>
      </c>
      <c r="O3" s="1236"/>
      <c r="P3" s="1236"/>
      <c r="Q3" s="1236"/>
      <c r="R3" s="1236"/>
      <c r="S3" s="1236"/>
      <c r="T3" s="1236"/>
      <c r="U3" s="1246" t="s">
        <v>498</v>
      </c>
      <c r="V3" s="1246" t="s">
        <v>499</v>
      </c>
      <c r="W3" s="1007"/>
      <c r="X3" s="1007"/>
    </row>
    <row r="4" spans="1:30" ht="14.25" customHeight="1" thickBot="1" thickTop="1">
      <c r="A4" s="1237" t="s">
        <v>1073</v>
      </c>
      <c r="B4" s="1237" t="s">
        <v>490</v>
      </c>
      <c r="C4" s="1237" t="s">
        <v>486</v>
      </c>
      <c r="D4" s="1239" t="s">
        <v>487</v>
      </c>
      <c r="E4" s="1237" t="s">
        <v>503</v>
      </c>
      <c r="F4" s="1237" t="s">
        <v>492</v>
      </c>
      <c r="G4" s="1237" t="s">
        <v>408</v>
      </c>
      <c r="H4" s="1237" t="s">
        <v>1092</v>
      </c>
      <c r="I4" s="1239" t="s">
        <v>488</v>
      </c>
      <c r="J4" s="1239" t="s">
        <v>489</v>
      </c>
      <c r="K4" s="1008" t="s">
        <v>1090</v>
      </c>
      <c r="L4" s="1237" t="s">
        <v>491</v>
      </c>
      <c r="M4" s="1242" t="s">
        <v>494</v>
      </c>
      <c r="N4" s="1244" t="s">
        <v>496</v>
      </c>
      <c r="O4" s="1245"/>
      <c r="P4" s="1244" t="s">
        <v>497</v>
      </c>
      <c r="Q4" s="1245"/>
      <c r="R4" s="1060"/>
      <c r="S4" s="1071" t="s">
        <v>408</v>
      </c>
      <c r="T4" s="1070"/>
      <c r="U4" s="1241"/>
      <c r="V4" s="1241"/>
      <c r="W4" s="1007" t="s">
        <v>407</v>
      </c>
      <c r="X4" s="1007"/>
      <c r="Y4" s="1247" t="s">
        <v>232</v>
      </c>
      <c r="Z4" s="1248"/>
      <c r="AA4" s="1242" t="s">
        <v>405</v>
      </c>
      <c r="AB4" s="1009" t="s">
        <v>431</v>
      </c>
      <c r="AC4" s="1009"/>
      <c r="AD4" s="1240" t="s">
        <v>500</v>
      </c>
    </row>
    <row r="5" spans="1:30" ht="13.5" thickTop="1">
      <c r="A5" s="1238"/>
      <c r="B5" s="1238"/>
      <c r="C5" s="1238"/>
      <c r="D5" s="1238"/>
      <c r="E5" s="1238"/>
      <c r="F5" s="1238"/>
      <c r="G5" s="1238"/>
      <c r="H5" s="1238"/>
      <c r="I5" s="1238"/>
      <c r="J5" s="1238"/>
      <c r="K5" s="1008" t="s">
        <v>409</v>
      </c>
      <c r="L5" s="1238"/>
      <c r="M5" s="1243"/>
      <c r="N5" s="1012" t="s">
        <v>735</v>
      </c>
      <c r="O5" s="1011" t="s">
        <v>1093</v>
      </c>
      <c r="P5" s="1011" t="s">
        <v>735</v>
      </c>
      <c r="Q5" s="1011" t="s">
        <v>1093</v>
      </c>
      <c r="R5" s="1011" t="s">
        <v>735</v>
      </c>
      <c r="S5" s="1011" t="s">
        <v>424</v>
      </c>
      <c r="T5" s="1011" t="s">
        <v>1093</v>
      </c>
      <c r="U5" s="1241"/>
      <c r="V5" s="1241"/>
      <c r="W5" s="1013" t="s">
        <v>1073</v>
      </c>
      <c r="X5" s="1014" t="s">
        <v>410</v>
      </c>
      <c r="Y5" s="1015" t="s">
        <v>495</v>
      </c>
      <c r="Z5" s="1015" t="s">
        <v>784</v>
      </c>
      <c r="AA5" s="1243"/>
      <c r="AB5" s="1010" t="s">
        <v>718</v>
      </c>
      <c r="AC5" s="1010" t="s">
        <v>74</v>
      </c>
      <c r="AD5" s="1241"/>
    </row>
    <row r="6" spans="1:30" ht="12.75">
      <c r="A6" s="1072">
        <v>38605</v>
      </c>
      <c r="B6" s="681">
        <v>2</v>
      </c>
      <c r="C6" s="681">
        <v>32450</v>
      </c>
      <c r="D6" s="1073">
        <f>C6*$E$3</f>
        <v>3245</v>
      </c>
      <c r="E6" s="1073">
        <f>C6-D6</f>
        <v>29205</v>
      </c>
      <c r="F6" s="681" t="s">
        <v>425</v>
      </c>
      <c r="G6" s="682">
        <v>0.145</v>
      </c>
      <c r="H6" s="681" t="s">
        <v>426</v>
      </c>
      <c r="I6" s="681" t="s">
        <v>427</v>
      </c>
      <c r="J6" s="681" t="s">
        <v>428</v>
      </c>
      <c r="K6" s="681" t="s">
        <v>429</v>
      </c>
      <c r="L6" s="681">
        <v>29158</v>
      </c>
      <c r="M6" s="1073">
        <f>E6-L6</f>
        <v>47</v>
      </c>
      <c r="N6" s="1073">
        <v>3.5</v>
      </c>
      <c r="O6" s="1073">
        <f>IF(N6&lt;3.01,(L6*(N6-1)*1%),(L6*(N6-3)*1.5%))</f>
        <v>218.685</v>
      </c>
      <c r="P6" s="1073">
        <v>22</v>
      </c>
      <c r="Q6" s="1073">
        <f>IF(P6&lt;25.01,(L6*(P6-20)*0.25%),(L6*(P6-25)*0.5%))</f>
        <v>145.79</v>
      </c>
      <c r="R6" s="1073">
        <v>15</v>
      </c>
      <c r="S6" s="1073">
        <f aca="true" t="shared" si="0" ref="S6:S37">IF(R6&gt;14.5,VLOOKUP(R6,tablita,2),"0")</f>
        <v>2.8739080459770046</v>
      </c>
      <c r="T6" s="1073">
        <f>L6*S6/100</f>
        <v>837.974108045975</v>
      </c>
      <c r="U6" s="1073">
        <f>O6+Q6+T6</f>
        <v>1202.449108045975</v>
      </c>
      <c r="V6" s="1073">
        <f>L6-U6</f>
        <v>27955.550891954026</v>
      </c>
      <c r="W6" s="1072">
        <v>38607</v>
      </c>
      <c r="X6" s="1074">
        <v>0.44097222222222227</v>
      </c>
      <c r="Y6" s="681">
        <v>48</v>
      </c>
      <c r="Z6" s="1073">
        <f>L6*Y6/1000</f>
        <v>1399.584</v>
      </c>
      <c r="AA6" s="1072">
        <v>38609</v>
      </c>
      <c r="AB6" s="681" t="s">
        <v>430</v>
      </c>
      <c r="AC6" s="1073">
        <f>L6*4.35/1000</f>
        <v>126.83729999999998</v>
      </c>
      <c r="AD6" s="1075" t="s">
        <v>432</v>
      </c>
    </row>
    <row r="7" spans="1:30" ht="12.75">
      <c r="A7" s="1016"/>
      <c r="B7" s="1017"/>
      <c r="C7" s="1017"/>
      <c r="D7" s="1021">
        <f aca="true" t="shared" si="1" ref="D7:D70">C7*$E$3</f>
        <v>0</v>
      </c>
      <c r="E7" s="1021">
        <f aca="true" t="shared" si="2" ref="E7:E70">C7-D7</f>
        <v>0</v>
      </c>
      <c r="F7" s="1017"/>
      <c r="G7" s="1017"/>
      <c r="H7" s="159"/>
      <c r="I7" s="1017"/>
      <c r="J7" s="1017"/>
      <c r="K7" s="1017"/>
      <c r="L7" s="1017"/>
      <c r="M7" s="1021">
        <f aca="true" t="shared" si="3" ref="M7:M70">E7-L7</f>
        <v>0</v>
      </c>
      <c r="N7" s="1018"/>
      <c r="O7" s="1073">
        <f aca="true" t="shared" si="4" ref="O7:O70">IF(N7&lt;3.01,(L7*(N7-1)*1%),(L7*(N7-3)*1.5%))</f>
        <v>0</v>
      </c>
      <c r="P7" s="1018"/>
      <c r="Q7" s="1073">
        <f aca="true" t="shared" si="5" ref="Q7:Q70">IF(P7&lt;25.01,(L7*(P7-20)*0.25%),(L7*(P7-25)*0.5%))</f>
        <v>0</v>
      </c>
      <c r="R7" s="1018"/>
      <c r="S7" s="1076" t="str">
        <f t="shared" si="0"/>
        <v>0</v>
      </c>
      <c r="T7" s="1073">
        <f aca="true" t="shared" si="6" ref="T7:T70">L7*S7/100</f>
        <v>0</v>
      </c>
      <c r="U7" s="1073">
        <f aca="true" t="shared" si="7" ref="U7:U70">O7+Q7+T7</f>
        <v>0</v>
      </c>
      <c r="V7" s="1073">
        <f aca="true" t="shared" si="8" ref="V7:V70">L7-U7</f>
        <v>0</v>
      </c>
      <c r="W7" s="1019"/>
      <c r="X7" s="1020"/>
      <c r="Y7" s="1017"/>
      <c r="Z7" s="1073">
        <f aca="true" t="shared" si="9" ref="Z7:Z70">L7*Y7/1000</f>
        <v>0</v>
      </c>
      <c r="AA7" s="1016"/>
      <c r="AB7" s="1018"/>
      <c r="AC7" s="1018"/>
      <c r="AD7" s="1017"/>
    </row>
    <row r="8" spans="1:30" ht="12.75">
      <c r="A8" s="1016"/>
      <c r="B8" s="1017"/>
      <c r="C8" s="1017"/>
      <c r="D8" s="1021">
        <f t="shared" si="1"/>
        <v>0</v>
      </c>
      <c r="E8" s="1021">
        <f t="shared" si="2"/>
        <v>0</v>
      </c>
      <c r="F8" s="1017"/>
      <c r="G8" s="1017"/>
      <c r="H8" s="159"/>
      <c r="I8" s="1017"/>
      <c r="J8" s="1017"/>
      <c r="K8" s="1017"/>
      <c r="L8" s="1017"/>
      <c r="M8" s="1021">
        <f t="shared" si="3"/>
        <v>0</v>
      </c>
      <c r="N8" s="1018"/>
      <c r="O8" s="1073">
        <f t="shared" si="4"/>
        <v>0</v>
      </c>
      <c r="P8" s="1018"/>
      <c r="Q8" s="1073">
        <f t="shared" si="5"/>
        <v>0</v>
      </c>
      <c r="R8" s="1018"/>
      <c r="S8" s="1076" t="str">
        <f t="shared" si="0"/>
        <v>0</v>
      </c>
      <c r="T8" s="1073">
        <f t="shared" si="6"/>
        <v>0</v>
      </c>
      <c r="U8" s="1073">
        <f t="shared" si="7"/>
        <v>0</v>
      </c>
      <c r="V8" s="1073">
        <f t="shared" si="8"/>
        <v>0</v>
      </c>
      <c r="W8" s="1019"/>
      <c r="X8" s="1020"/>
      <c r="Y8" s="1017"/>
      <c r="Z8" s="1073">
        <f t="shared" si="9"/>
        <v>0</v>
      </c>
      <c r="AA8" s="1016"/>
      <c r="AB8" s="1018"/>
      <c r="AC8" s="1018"/>
      <c r="AD8" s="1017"/>
    </row>
    <row r="9" spans="1:30" ht="12.75">
      <c r="A9" s="1016"/>
      <c r="B9" s="1017"/>
      <c r="C9" s="1017"/>
      <c r="D9" s="1021">
        <f t="shared" si="1"/>
        <v>0</v>
      </c>
      <c r="E9" s="1021">
        <f t="shared" si="2"/>
        <v>0</v>
      </c>
      <c r="F9" s="1017"/>
      <c r="G9" s="1017"/>
      <c r="H9" s="159"/>
      <c r="I9" s="1017"/>
      <c r="J9" s="1017"/>
      <c r="K9" s="1017"/>
      <c r="L9" s="1017"/>
      <c r="M9" s="1021">
        <f t="shared" si="3"/>
        <v>0</v>
      </c>
      <c r="N9" s="1018"/>
      <c r="O9" s="1073">
        <f t="shared" si="4"/>
        <v>0</v>
      </c>
      <c r="P9" s="1018"/>
      <c r="Q9" s="1073">
        <f t="shared" si="5"/>
        <v>0</v>
      </c>
      <c r="R9" s="1018"/>
      <c r="S9" s="1076" t="str">
        <f t="shared" si="0"/>
        <v>0</v>
      </c>
      <c r="T9" s="1073">
        <f t="shared" si="6"/>
        <v>0</v>
      </c>
      <c r="U9" s="1073">
        <f t="shared" si="7"/>
        <v>0</v>
      </c>
      <c r="V9" s="1073">
        <f t="shared" si="8"/>
        <v>0</v>
      </c>
      <c r="W9" s="1019"/>
      <c r="X9" s="1020"/>
      <c r="Y9" s="1017"/>
      <c r="Z9" s="1073">
        <f t="shared" si="9"/>
        <v>0</v>
      </c>
      <c r="AA9" s="1016"/>
      <c r="AB9" s="1018"/>
      <c r="AC9" s="1018"/>
      <c r="AD9" s="1017"/>
    </row>
    <row r="10" spans="1:30" ht="12.75">
      <c r="A10" s="1016"/>
      <c r="B10" s="1017"/>
      <c r="C10" s="1017"/>
      <c r="D10" s="1021">
        <f t="shared" si="1"/>
        <v>0</v>
      </c>
      <c r="E10" s="1021">
        <f t="shared" si="2"/>
        <v>0</v>
      </c>
      <c r="F10" s="1017"/>
      <c r="G10" s="1017"/>
      <c r="H10" s="159"/>
      <c r="I10" s="1017"/>
      <c r="J10" s="1017"/>
      <c r="K10" s="1017"/>
      <c r="L10" s="1017"/>
      <c r="M10" s="1021">
        <f t="shared" si="3"/>
        <v>0</v>
      </c>
      <c r="N10" s="1018"/>
      <c r="O10" s="1073">
        <f t="shared" si="4"/>
        <v>0</v>
      </c>
      <c r="P10" s="1018"/>
      <c r="Q10" s="1073">
        <f t="shared" si="5"/>
        <v>0</v>
      </c>
      <c r="R10" s="1018"/>
      <c r="S10" s="1076" t="str">
        <f t="shared" si="0"/>
        <v>0</v>
      </c>
      <c r="T10" s="1073">
        <f t="shared" si="6"/>
        <v>0</v>
      </c>
      <c r="U10" s="1073">
        <f t="shared" si="7"/>
        <v>0</v>
      </c>
      <c r="V10" s="1073">
        <f t="shared" si="8"/>
        <v>0</v>
      </c>
      <c r="W10" s="1019"/>
      <c r="X10" s="1020"/>
      <c r="Y10" s="1017"/>
      <c r="Z10" s="1073">
        <f t="shared" si="9"/>
        <v>0</v>
      </c>
      <c r="AA10" s="1016"/>
      <c r="AB10" s="1018"/>
      <c r="AC10" s="1018"/>
      <c r="AD10" s="1017"/>
    </row>
    <row r="11" spans="1:30" ht="12.75">
      <c r="A11" s="1016"/>
      <c r="B11" s="1017"/>
      <c r="C11" s="1017"/>
      <c r="D11" s="1021">
        <f t="shared" si="1"/>
        <v>0</v>
      </c>
      <c r="E11" s="1021">
        <f t="shared" si="2"/>
        <v>0</v>
      </c>
      <c r="F11" s="1017"/>
      <c r="G11" s="1017"/>
      <c r="H11" s="159"/>
      <c r="I11" s="1017"/>
      <c r="J11" s="1017"/>
      <c r="K11" s="1017"/>
      <c r="L11" s="1017"/>
      <c r="M11" s="1021">
        <f t="shared" si="3"/>
        <v>0</v>
      </c>
      <c r="N11" s="1018"/>
      <c r="O11" s="1073">
        <f t="shared" si="4"/>
        <v>0</v>
      </c>
      <c r="P11" s="1018"/>
      <c r="Q11" s="1073">
        <f t="shared" si="5"/>
        <v>0</v>
      </c>
      <c r="R11" s="1018"/>
      <c r="S11" s="1076" t="str">
        <f t="shared" si="0"/>
        <v>0</v>
      </c>
      <c r="T11" s="1073">
        <f t="shared" si="6"/>
        <v>0</v>
      </c>
      <c r="U11" s="1073">
        <f t="shared" si="7"/>
        <v>0</v>
      </c>
      <c r="V11" s="1073">
        <f t="shared" si="8"/>
        <v>0</v>
      </c>
      <c r="W11" s="1019"/>
      <c r="X11" s="1020"/>
      <c r="Y11" s="1017"/>
      <c r="Z11" s="1073">
        <f t="shared" si="9"/>
        <v>0</v>
      </c>
      <c r="AA11" s="1016"/>
      <c r="AB11" s="1018"/>
      <c r="AC11" s="1018"/>
      <c r="AD11" s="1017"/>
    </row>
    <row r="12" spans="1:30" ht="12.75">
      <c r="A12" s="1016"/>
      <c r="B12" s="1017"/>
      <c r="C12" s="1017"/>
      <c r="D12" s="1021">
        <f t="shared" si="1"/>
        <v>0</v>
      </c>
      <c r="E12" s="1021">
        <f t="shared" si="2"/>
        <v>0</v>
      </c>
      <c r="F12" s="1017"/>
      <c r="G12" s="1017"/>
      <c r="H12" s="159"/>
      <c r="I12" s="1017"/>
      <c r="J12" s="1017"/>
      <c r="K12" s="1017"/>
      <c r="L12" s="1017"/>
      <c r="M12" s="1021">
        <f t="shared" si="3"/>
        <v>0</v>
      </c>
      <c r="N12" s="1018"/>
      <c r="O12" s="1073">
        <f t="shared" si="4"/>
        <v>0</v>
      </c>
      <c r="P12" s="1018"/>
      <c r="Q12" s="1073">
        <f t="shared" si="5"/>
        <v>0</v>
      </c>
      <c r="R12" s="1018"/>
      <c r="S12" s="1076" t="str">
        <f t="shared" si="0"/>
        <v>0</v>
      </c>
      <c r="T12" s="1073">
        <f t="shared" si="6"/>
        <v>0</v>
      </c>
      <c r="U12" s="1073">
        <f t="shared" si="7"/>
        <v>0</v>
      </c>
      <c r="V12" s="1073">
        <f t="shared" si="8"/>
        <v>0</v>
      </c>
      <c r="W12" s="1019"/>
      <c r="X12" s="1020"/>
      <c r="Y12" s="1017"/>
      <c r="Z12" s="1073">
        <f t="shared" si="9"/>
        <v>0</v>
      </c>
      <c r="AA12" s="1016"/>
      <c r="AB12" s="1018"/>
      <c r="AC12" s="1018"/>
      <c r="AD12" s="1017"/>
    </row>
    <row r="13" spans="1:30" ht="12.75">
      <c r="A13" s="1016"/>
      <c r="B13" s="1017"/>
      <c r="C13" s="1017"/>
      <c r="D13" s="1021">
        <f t="shared" si="1"/>
        <v>0</v>
      </c>
      <c r="E13" s="1021">
        <f t="shared" si="2"/>
        <v>0</v>
      </c>
      <c r="F13" s="1017"/>
      <c r="G13" s="1017"/>
      <c r="H13" s="159"/>
      <c r="I13" s="1017"/>
      <c r="J13" s="1017"/>
      <c r="K13" s="1017"/>
      <c r="L13" s="1017"/>
      <c r="M13" s="1021">
        <f t="shared" si="3"/>
        <v>0</v>
      </c>
      <c r="N13" s="1018"/>
      <c r="O13" s="1073">
        <f t="shared" si="4"/>
        <v>0</v>
      </c>
      <c r="P13" s="1018"/>
      <c r="Q13" s="1073">
        <f t="shared" si="5"/>
        <v>0</v>
      </c>
      <c r="R13" s="1018"/>
      <c r="S13" s="1076" t="str">
        <f t="shared" si="0"/>
        <v>0</v>
      </c>
      <c r="T13" s="1073">
        <f t="shared" si="6"/>
        <v>0</v>
      </c>
      <c r="U13" s="1073">
        <f t="shared" si="7"/>
        <v>0</v>
      </c>
      <c r="V13" s="1073">
        <f t="shared" si="8"/>
        <v>0</v>
      </c>
      <c r="W13" s="1019"/>
      <c r="X13" s="1020"/>
      <c r="Y13" s="1017"/>
      <c r="Z13" s="1073">
        <f t="shared" si="9"/>
        <v>0</v>
      </c>
      <c r="AA13" s="1016"/>
      <c r="AB13" s="1018"/>
      <c r="AC13" s="1018"/>
      <c r="AD13" s="1017"/>
    </row>
    <row r="14" spans="1:30" ht="12.75">
      <c r="A14" s="1016"/>
      <c r="B14" s="1017"/>
      <c r="C14" s="1017"/>
      <c r="D14" s="1021">
        <f t="shared" si="1"/>
        <v>0</v>
      </c>
      <c r="E14" s="1021">
        <f t="shared" si="2"/>
        <v>0</v>
      </c>
      <c r="F14" s="1017"/>
      <c r="G14" s="1017"/>
      <c r="H14" s="159"/>
      <c r="I14" s="1017"/>
      <c r="J14" s="1017"/>
      <c r="K14" s="1017"/>
      <c r="L14" s="1017"/>
      <c r="M14" s="1021">
        <f t="shared" si="3"/>
        <v>0</v>
      </c>
      <c r="N14" s="1018"/>
      <c r="O14" s="1073">
        <f t="shared" si="4"/>
        <v>0</v>
      </c>
      <c r="P14" s="1018"/>
      <c r="Q14" s="1073">
        <f t="shared" si="5"/>
        <v>0</v>
      </c>
      <c r="R14" s="1018"/>
      <c r="S14" s="1076" t="str">
        <f t="shared" si="0"/>
        <v>0</v>
      </c>
      <c r="T14" s="1073">
        <f t="shared" si="6"/>
        <v>0</v>
      </c>
      <c r="U14" s="1073">
        <f t="shared" si="7"/>
        <v>0</v>
      </c>
      <c r="V14" s="1073">
        <f t="shared" si="8"/>
        <v>0</v>
      </c>
      <c r="W14" s="1019"/>
      <c r="X14" s="1020"/>
      <c r="Y14" s="1017"/>
      <c r="Z14" s="1073">
        <f t="shared" si="9"/>
        <v>0</v>
      </c>
      <c r="AA14" s="1016"/>
      <c r="AB14" s="1018"/>
      <c r="AC14" s="1018"/>
      <c r="AD14" s="1017"/>
    </row>
    <row r="15" spans="1:30" ht="12.75">
      <c r="A15" s="1016"/>
      <c r="B15" s="1017"/>
      <c r="C15" s="1017"/>
      <c r="D15" s="1021">
        <f t="shared" si="1"/>
        <v>0</v>
      </c>
      <c r="E15" s="1021">
        <f t="shared" si="2"/>
        <v>0</v>
      </c>
      <c r="F15" s="1017"/>
      <c r="G15" s="1017"/>
      <c r="H15" s="159"/>
      <c r="I15" s="1017"/>
      <c r="J15" s="1017"/>
      <c r="K15" s="1017"/>
      <c r="L15" s="1017"/>
      <c r="M15" s="1021">
        <f t="shared" si="3"/>
        <v>0</v>
      </c>
      <c r="N15" s="1018"/>
      <c r="O15" s="1073">
        <f t="shared" si="4"/>
        <v>0</v>
      </c>
      <c r="P15" s="1018"/>
      <c r="Q15" s="1073">
        <f t="shared" si="5"/>
        <v>0</v>
      </c>
      <c r="R15" s="1018"/>
      <c r="S15" s="1076" t="str">
        <f t="shared" si="0"/>
        <v>0</v>
      </c>
      <c r="T15" s="1073">
        <f t="shared" si="6"/>
        <v>0</v>
      </c>
      <c r="U15" s="1073">
        <f t="shared" si="7"/>
        <v>0</v>
      </c>
      <c r="V15" s="1073">
        <f t="shared" si="8"/>
        <v>0</v>
      </c>
      <c r="W15" s="1019"/>
      <c r="X15" s="1020"/>
      <c r="Y15" s="1017"/>
      <c r="Z15" s="1073">
        <f t="shared" si="9"/>
        <v>0</v>
      </c>
      <c r="AA15" s="1016"/>
      <c r="AB15" s="1018"/>
      <c r="AC15" s="1018"/>
      <c r="AD15" s="1017"/>
    </row>
    <row r="16" spans="1:30" ht="12.75">
      <c r="A16" s="1016"/>
      <c r="B16" s="1017"/>
      <c r="C16" s="1017"/>
      <c r="D16" s="1021">
        <f t="shared" si="1"/>
        <v>0</v>
      </c>
      <c r="E16" s="1021">
        <f t="shared" si="2"/>
        <v>0</v>
      </c>
      <c r="F16" s="1017"/>
      <c r="G16" s="1017"/>
      <c r="H16" s="159"/>
      <c r="I16" s="1017"/>
      <c r="J16" s="1017"/>
      <c r="K16" s="1017"/>
      <c r="L16" s="1017"/>
      <c r="M16" s="1021">
        <f t="shared" si="3"/>
        <v>0</v>
      </c>
      <c r="N16" s="1018"/>
      <c r="O16" s="1073">
        <f t="shared" si="4"/>
        <v>0</v>
      </c>
      <c r="P16" s="1018"/>
      <c r="Q16" s="1073">
        <f t="shared" si="5"/>
        <v>0</v>
      </c>
      <c r="R16" s="1018"/>
      <c r="S16" s="1076" t="str">
        <f t="shared" si="0"/>
        <v>0</v>
      </c>
      <c r="T16" s="1073">
        <f t="shared" si="6"/>
        <v>0</v>
      </c>
      <c r="U16" s="1073">
        <f t="shared" si="7"/>
        <v>0</v>
      </c>
      <c r="V16" s="1073">
        <f t="shared" si="8"/>
        <v>0</v>
      </c>
      <c r="W16" s="1019"/>
      <c r="X16" s="1020"/>
      <c r="Y16" s="1017"/>
      <c r="Z16" s="1073">
        <f t="shared" si="9"/>
        <v>0</v>
      </c>
      <c r="AA16" s="1016"/>
      <c r="AB16" s="1018"/>
      <c r="AC16" s="1018"/>
      <c r="AD16" s="1017"/>
    </row>
    <row r="17" spans="1:30" ht="12.75">
      <c r="A17" s="1016"/>
      <c r="B17" s="1017"/>
      <c r="C17" s="1017"/>
      <c r="D17" s="1021">
        <f t="shared" si="1"/>
        <v>0</v>
      </c>
      <c r="E17" s="1021">
        <f t="shared" si="2"/>
        <v>0</v>
      </c>
      <c r="F17" s="1017"/>
      <c r="G17" s="1017"/>
      <c r="H17" s="159"/>
      <c r="I17" s="1017"/>
      <c r="J17" s="1017"/>
      <c r="K17" s="1017"/>
      <c r="L17" s="1017"/>
      <c r="M17" s="1021">
        <f t="shared" si="3"/>
        <v>0</v>
      </c>
      <c r="N17" s="1018"/>
      <c r="O17" s="1073">
        <f t="shared" si="4"/>
        <v>0</v>
      </c>
      <c r="P17" s="1018"/>
      <c r="Q17" s="1073">
        <f t="shared" si="5"/>
        <v>0</v>
      </c>
      <c r="R17" s="1018"/>
      <c r="S17" s="1076" t="str">
        <f t="shared" si="0"/>
        <v>0</v>
      </c>
      <c r="T17" s="1073">
        <f t="shared" si="6"/>
        <v>0</v>
      </c>
      <c r="U17" s="1073">
        <f t="shared" si="7"/>
        <v>0</v>
      </c>
      <c r="V17" s="1073">
        <f t="shared" si="8"/>
        <v>0</v>
      </c>
      <c r="W17" s="1019"/>
      <c r="X17" s="1020"/>
      <c r="Y17" s="1017"/>
      <c r="Z17" s="1073">
        <f t="shared" si="9"/>
        <v>0</v>
      </c>
      <c r="AA17" s="1016"/>
      <c r="AB17" s="1018"/>
      <c r="AC17" s="1018"/>
      <c r="AD17" s="1017"/>
    </row>
    <row r="18" spans="1:30" ht="12.75">
      <c r="A18" s="1016"/>
      <c r="B18" s="1017"/>
      <c r="C18" s="1017"/>
      <c r="D18" s="1021">
        <f t="shared" si="1"/>
        <v>0</v>
      </c>
      <c r="E18" s="1021">
        <f t="shared" si="2"/>
        <v>0</v>
      </c>
      <c r="F18" s="1017"/>
      <c r="G18" s="1017"/>
      <c r="H18" s="159"/>
      <c r="I18" s="1017"/>
      <c r="J18" s="1017"/>
      <c r="K18" s="1017"/>
      <c r="L18" s="1017"/>
      <c r="M18" s="1021">
        <f t="shared" si="3"/>
        <v>0</v>
      </c>
      <c r="N18" s="1018"/>
      <c r="O18" s="1073">
        <f t="shared" si="4"/>
        <v>0</v>
      </c>
      <c r="P18" s="1018"/>
      <c r="Q18" s="1073">
        <f t="shared" si="5"/>
        <v>0</v>
      </c>
      <c r="R18" s="1018"/>
      <c r="S18" s="1076" t="str">
        <f t="shared" si="0"/>
        <v>0</v>
      </c>
      <c r="T18" s="1073">
        <f t="shared" si="6"/>
        <v>0</v>
      </c>
      <c r="U18" s="1073">
        <f t="shared" si="7"/>
        <v>0</v>
      </c>
      <c r="V18" s="1073">
        <f t="shared" si="8"/>
        <v>0</v>
      </c>
      <c r="W18" s="1019"/>
      <c r="X18" s="1020"/>
      <c r="Y18" s="1017"/>
      <c r="Z18" s="1073">
        <f t="shared" si="9"/>
        <v>0</v>
      </c>
      <c r="AA18" s="1016"/>
      <c r="AB18" s="1018"/>
      <c r="AC18" s="1018"/>
      <c r="AD18" s="1017"/>
    </row>
    <row r="19" spans="1:30" ht="12.75">
      <c r="A19" s="1016"/>
      <c r="B19" s="1017"/>
      <c r="C19" s="1017"/>
      <c r="D19" s="1021">
        <f t="shared" si="1"/>
        <v>0</v>
      </c>
      <c r="E19" s="1021">
        <f t="shared" si="2"/>
        <v>0</v>
      </c>
      <c r="F19" s="1017"/>
      <c r="G19" s="1017"/>
      <c r="H19" s="159"/>
      <c r="I19" s="1017"/>
      <c r="J19" s="1017"/>
      <c r="K19" s="1017"/>
      <c r="L19" s="1017"/>
      <c r="M19" s="1021">
        <f t="shared" si="3"/>
        <v>0</v>
      </c>
      <c r="N19" s="1018"/>
      <c r="O19" s="1073">
        <f t="shared" si="4"/>
        <v>0</v>
      </c>
      <c r="P19" s="1018"/>
      <c r="Q19" s="1073">
        <f t="shared" si="5"/>
        <v>0</v>
      </c>
      <c r="R19" s="1018"/>
      <c r="S19" s="1076" t="str">
        <f t="shared" si="0"/>
        <v>0</v>
      </c>
      <c r="T19" s="1073">
        <f t="shared" si="6"/>
        <v>0</v>
      </c>
      <c r="U19" s="1073">
        <f t="shared" si="7"/>
        <v>0</v>
      </c>
      <c r="V19" s="1073">
        <f t="shared" si="8"/>
        <v>0</v>
      </c>
      <c r="W19" s="1019"/>
      <c r="X19" s="1020"/>
      <c r="Y19" s="1017"/>
      <c r="Z19" s="1073">
        <f t="shared" si="9"/>
        <v>0</v>
      </c>
      <c r="AA19" s="1016"/>
      <c r="AB19" s="1018"/>
      <c r="AC19" s="1018"/>
      <c r="AD19" s="1017"/>
    </row>
    <row r="20" spans="1:30" ht="12.75">
      <c r="A20" s="1016"/>
      <c r="B20" s="1017"/>
      <c r="C20" s="1017"/>
      <c r="D20" s="1021">
        <f t="shared" si="1"/>
        <v>0</v>
      </c>
      <c r="E20" s="1021">
        <f t="shared" si="2"/>
        <v>0</v>
      </c>
      <c r="F20" s="1017"/>
      <c r="G20" s="1017"/>
      <c r="H20" s="159"/>
      <c r="I20" s="1017"/>
      <c r="J20" s="1017"/>
      <c r="K20" s="1017"/>
      <c r="L20" s="1017"/>
      <c r="M20" s="1021">
        <f t="shared" si="3"/>
        <v>0</v>
      </c>
      <c r="N20" s="1018"/>
      <c r="O20" s="1073">
        <f t="shared" si="4"/>
        <v>0</v>
      </c>
      <c r="P20" s="1018"/>
      <c r="Q20" s="1073">
        <f t="shared" si="5"/>
        <v>0</v>
      </c>
      <c r="R20" s="1018"/>
      <c r="S20" s="1076" t="str">
        <f t="shared" si="0"/>
        <v>0</v>
      </c>
      <c r="T20" s="1073">
        <f t="shared" si="6"/>
        <v>0</v>
      </c>
      <c r="U20" s="1073">
        <f t="shared" si="7"/>
        <v>0</v>
      </c>
      <c r="V20" s="1073">
        <f t="shared" si="8"/>
        <v>0</v>
      </c>
      <c r="W20" s="1019"/>
      <c r="X20" s="1020"/>
      <c r="Y20" s="1017"/>
      <c r="Z20" s="1073">
        <f t="shared" si="9"/>
        <v>0</v>
      </c>
      <c r="AA20" s="1016"/>
      <c r="AB20" s="1018"/>
      <c r="AC20" s="1018"/>
      <c r="AD20" s="1017"/>
    </row>
    <row r="21" spans="1:30" ht="12.75">
      <c r="A21" s="1016"/>
      <c r="B21" s="1017"/>
      <c r="C21" s="1017"/>
      <c r="D21" s="1021">
        <f t="shared" si="1"/>
        <v>0</v>
      </c>
      <c r="E21" s="1021">
        <f t="shared" si="2"/>
        <v>0</v>
      </c>
      <c r="F21" s="1017"/>
      <c r="G21" s="1017"/>
      <c r="H21" s="159"/>
      <c r="I21" s="1017"/>
      <c r="J21" s="1017"/>
      <c r="K21" s="1017"/>
      <c r="L21" s="1017"/>
      <c r="M21" s="1021">
        <f t="shared" si="3"/>
        <v>0</v>
      </c>
      <c r="N21" s="1018"/>
      <c r="O21" s="1073">
        <f t="shared" si="4"/>
        <v>0</v>
      </c>
      <c r="P21" s="1018"/>
      <c r="Q21" s="1073">
        <f t="shared" si="5"/>
        <v>0</v>
      </c>
      <c r="R21" s="1018"/>
      <c r="S21" s="1076" t="str">
        <f t="shared" si="0"/>
        <v>0</v>
      </c>
      <c r="T21" s="1073">
        <f t="shared" si="6"/>
        <v>0</v>
      </c>
      <c r="U21" s="1073">
        <f t="shared" si="7"/>
        <v>0</v>
      </c>
      <c r="V21" s="1073">
        <f t="shared" si="8"/>
        <v>0</v>
      </c>
      <c r="W21" s="1019"/>
      <c r="X21" s="1020"/>
      <c r="Y21" s="1017"/>
      <c r="Z21" s="1073">
        <f t="shared" si="9"/>
        <v>0</v>
      </c>
      <c r="AA21" s="1016"/>
      <c r="AB21" s="1018"/>
      <c r="AC21" s="1018"/>
      <c r="AD21" s="1017"/>
    </row>
    <row r="22" spans="1:30" ht="12.75">
      <c r="A22" s="1016"/>
      <c r="B22" s="1017"/>
      <c r="C22" s="1017"/>
      <c r="D22" s="1021">
        <f t="shared" si="1"/>
        <v>0</v>
      </c>
      <c r="E22" s="1021">
        <f t="shared" si="2"/>
        <v>0</v>
      </c>
      <c r="F22" s="1017"/>
      <c r="G22" s="1017"/>
      <c r="H22" s="159"/>
      <c r="I22" s="1017"/>
      <c r="J22" s="1017"/>
      <c r="K22" s="1017"/>
      <c r="L22" s="1017"/>
      <c r="M22" s="1021">
        <f t="shared" si="3"/>
        <v>0</v>
      </c>
      <c r="N22" s="1018"/>
      <c r="O22" s="1073">
        <f t="shared" si="4"/>
        <v>0</v>
      </c>
      <c r="P22" s="1018"/>
      <c r="Q22" s="1073">
        <f t="shared" si="5"/>
        <v>0</v>
      </c>
      <c r="R22" s="1018"/>
      <c r="S22" s="1076" t="str">
        <f t="shared" si="0"/>
        <v>0</v>
      </c>
      <c r="T22" s="1073">
        <f t="shared" si="6"/>
        <v>0</v>
      </c>
      <c r="U22" s="1073">
        <f t="shared" si="7"/>
        <v>0</v>
      </c>
      <c r="V22" s="1073">
        <f t="shared" si="8"/>
        <v>0</v>
      </c>
      <c r="W22" s="1019"/>
      <c r="X22" s="1020"/>
      <c r="Y22" s="1017"/>
      <c r="Z22" s="1073">
        <f t="shared" si="9"/>
        <v>0</v>
      </c>
      <c r="AA22" s="1016"/>
      <c r="AB22" s="1018"/>
      <c r="AC22" s="1018"/>
      <c r="AD22" s="1017"/>
    </row>
    <row r="23" spans="1:30" ht="12.75">
      <c r="A23" s="1016"/>
      <c r="B23" s="1017"/>
      <c r="C23" s="1017"/>
      <c r="D23" s="1021">
        <f t="shared" si="1"/>
        <v>0</v>
      </c>
      <c r="E23" s="1021">
        <f t="shared" si="2"/>
        <v>0</v>
      </c>
      <c r="F23" s="1017"/>
      <c r="G23" s="1017"/>
      <c r="H23" s="159"/>
      <c r="I23" s="1017"/>
      <c r="J23" s="1017"/>
      <c r="K23" s="1017"/>
      <c r="L23" s="1017"/>
      <c r="M23" s="1021">
        <f t="shared" si="3"/>
        <v>0</v>
      </c>
      <c r="N23" s="1018"/>
      <c r="O23" s="1073">
        <f t="shared" si="4"/>
        <v>0</v>
      </c>
      <c r="P23" s="1018"/>
      <c r="Q23" s="1073">
        <f t="shared" si="5"/>
        <v>0</v>
      </c>
      <c r="R23" s="1018"/>
      <c r="S23" s="1076" t="str">
        <f t="shared" si="0"/>
        <v>0</v>
      </c>
      <c r="T23" s="1073">
        <f t="shared" si="6"/>
        <v>0</v>
      </c>
      <c r="U23" s="1073">
        <f t="shared" si="7"/>
        <v>0</v>
      </c>
      <c r="V23" s="1073">
        <f t="shared" si="8"/>
        <v>0</v>
      </c>
      <c r="W23" s="1019"/>
      <c r="X23" s="1020"/>
      <c r="Y23" s="1017"/>
      <c r="Z23" s="1073">
        <f t="shared" si="9"/>
        <v>0</v>
      </c>
      <c r="AA23" s="1016"/>
      <c r="AB23" s="1018"/>
      <c r="AC23" s="1018"/>
      <c r="AD23" s="1017"/>
    </row>
    <row r="24" spans="1:30" ht="12.75">
      <c r="A24" s="1016"/>
      <c r="B24" s="1017"/>
      <c r="C24" s="1017"/>
      <c r="D24" s="1021">
        <f t="shared" si="1"/>
        <v>0</v>
      </c>
      <c r="E24" s="1021">
        <f t="shared" si="2"/>
        <v>0</v>
      </c>
      <c r="F24" s="1017"/>
      <c r="G24" s="1017"/>
      <c r="H24" s="159"/>
      <c r="I24" s="1017"/>
      <c r="J24" s="1017"/>
      <c r="K24" s="1017"/>
      <c r="L24" s="1017"/>
      <c r="M24" s="1021">
        <f t="shared" si="3"/>
        <v>0</v>
      </c>
      <c r="N24" s="1018"/>
      <c r="O24" s="1073">
        <f t="shared" si="4"/>
        <v>0</v>
      </c>
      <c r="P24" s="1018"/>
      <c r="Q24" s="1073">
        <f t="shared" si="5"/>
        <v>0</v>
      </c>
      <c r="R24" s="1018"/>
      <c r="S24" s="1076" t="str">
        <f t="shared" si="0"/>
        <v>0</v>
      </c>
      <c r="T24" s="1073">
        <f t="shared" si="6"/>
        <v>0</v>
      </c>
      <c r="U24" s="1073">
        <f t="shared" si="7"/>
        <v>0</v>
      </c>
      <c r="V24" s="1073">
        <f t="shared" si="8"/>
        <v>0</v>
      </c>
      <c r="W24" s="1019"/>
      <c r="X24" s="1020"/>
      <c r="Y24" s="1017"/>
      <c r="Z24" s="1073">
        <f t="shared" si="9"/>
        <v>0</v>
      </c>
      <c r="AA24" s="1016"/>
      <c r="AB24" s="1018"/>
      <c r="AC24" s="1018"/>
      <c r="AD24" s="1017"/>
    </row>
    <row r="25" spans="1:30" ht="12.75">
      <c r="A25" s="1016"/>
      <c r="B25" s="1017"/>
      <c r="C25" s="1017"/>
      <c r="D25" s="1021">
        <f t="shared" si="1"/>
        <v>0</v>
      </c>
      <c r="E25" s="1021">
        <f t="shared" si="2"/>
        <v>0</v>
      </c>
      <c r="F25" s="1017"/>
      <c r="G25" s="1017"/>
      <c r="H25" s="159"/>
      <c r="I25" s="1017"/>
      <c r="J25" s="1017"/>
      <c r="K25" s="1017"/>
      <c r="L25" s="1017"/>
      <c r="M25" s="1021">
        <f t="shared" si="3"/>
        <v>0</v>
      </c>
      <c r="N25" s="1018"/>
      <c r="O25" s="1073">
        <f t="shared" si="4"/>
        <v>0</v>
      </c>
      <c r="P25" s="1018"/>
      <c r="Q25" s="1073">
        <f t="shared" si="5"/>
        <v>0</v>
      </c>
      <c r="R25" s="1018"/>
      <c r="S25" s="1076" t="str">
        <f t="shared" si="0"/>
        <v>0</v>
      </c>
      <c r="T25" s="1073">
        <f t="shared" si="6"/>
        <v>0</v>
      </c>
      <c r="U25" s="1073">
        <f t="shared" si="7"/>
        <v>0</v>
      </c>
      <c r="V25" s="1073">
        <f t="shared" si="8"/>
        <v>0</v>
      </c>
      <c r="W25" s="1019"/>
      <c r="X25" s="1020"/>
      <c r="Y25" s="1017"/>
      <c r="Z25" s="1073">
        <f t="shared" si="9"/>
        <v>0</v>
      </c>
      <c r="AA25" s="1016"/>
      <c r="AB25" s="1018"/>
      <c r="AC25" s="1018"/>
      <c r="AD25" s="1017"/>
    </row>
    <row r="26" spans="1:30" ht="12.75">
      <c r="A26" s="1016"/>
      <c r="B26" s="1017"/>
      <c r="C26" s="1017"/>
      <c r="D26" s="1021">
        <f t="shared" si="1"/>
        <v>0</v>
      </c>
      <c r="E26" s="1021">
        <f t="shared" si="2"/>
        <v>0</v>
      </c>
      <c r="F26" s="1017"/>
      <c r="G26" s="1017"/>
      <c r="H26" s="159"/>
      <c r="I26" s="1017"/>
      <c r="J26" s="1017"/>
      <c r="K26" s="1017"/>
      <c r="L26" s="1017"/>
      <c r="M26" s="1021">
        <f t="shared" si="3"/>
        <v>0</v>
      </c>
      <c r="N26" s="1018"/>
      <c r="O26" s="1073">
        <f t="shared" si="4"/>
        <v>0</v>
      </c>
      <c r="P26" s="1018"/>
      <c r="Q26" s="1073">
        <f t="shared" si="5"/>
        <v>0</v>
      </c>
      <c r="R26" s="1018"/>
      <c r="S26" s="1076" t="str">
        <f t="shared" si="0"/>
        <v>0</v>
      </c>
      <c r="T26" s="1073">
        <f t="shared" si="6"/>
        <v>0</v>
      </c>
      <c r="U26" s="1073">
        <f t="shared" si="7"/>
        <v>0</v>
      </c>
      <c r="V26" s="1073">
        <f t="shared" si="8"/>
        <v>0</v>
      </c>
      <c r="W26" s="1019"/>
      <c r="X26" s="1020"/>
      <c r="Y26" s="1017"/>
      <c r="Z26" s="1073">
        <f t="shared" si="9"/>
        <v>0</v>
      </c>
      <c r="AA26" s="1016"/>
      <c r="AB26" s="1018"/>
      <c r="AC26" s="1018"/>
      <c r="AD26" s="1017"/>
    </row>
    <row r="27" spans="1:30" ht="12.75">
      <c r="A27" s="1016"/>
      <c r="B27" s="1017"/>
      <c r="C27" s="1017"/>
      <c r="D27" s="1021">
        <f t="shared" si="1"/>
        <v>0</v>
      </c>
      <c r="E27" s="1021">
        <f t="shared" si="2"/>
        <v>0</v>
      </c>
      <c r="F27" s="1017"/>
      <c r="G27" s="1017"/>
      <c r="H27" s="159"/>
      <c r="I27" s="1017"/>
      <c r="J27" s="1017"/>
      <c r="K27" s="1017"/>
      <c r="L27" s="1017"/>
      <c r="M27" s="1021">
        <f t="shared" si="3"/>
        <v>0</v>
      </c>
      <c r="N27" s="1018"/>
      <c r="O27" s="1073">
        <f t="shared" si="4"/>
        <v>0</v>
      </c>
      <c r="P27" s="1018"/>
      <c r="Q27" s="1073">
        <f t="shared" si="5"/>
        <v>0</v>
      </c>
      <c r="R27" s="1018"/>
      <c r="S27" s="1076" t="str">
        <f t="shared" si="0"/>
        <v>0</v>
      </c>
      <c r="T27" s="1073">
        <f t="shared" si="6"/>
        <v>0</v>
      </c>
      <c r="U27" s="1073">
        <f t="shared" si="7"/>
        <v>0</v>
      </c>
      <c r="V27" s="1073">
        <f t="shared" si="8"/>
        <v>0</v>
      </c>
      <c r="W27" s="1019"/>
      <c r="X27" s="1020"/>
      <c r="Y27" s="1017"/>
      <c r="Z27" s="1073">
        <f t="shared" si="9"/>
        <v>0</v>
      </c>
      <c r="AA27" s="1016"/>
      <c r="AB27" s="1018"/>
      <c r="AC27" s="1018"/>
      <c r="AD27" s="1017"/>
    </row>
    <row r="28" spans="1:30" ht="12.75">
      <c r="A28" s="1016"/>
      <c r="B28" s="1017"/>
      <c r="C28" s="1017"/>
      <c r="D28" s="1021">
        <f t="shared" si="1"/>
        <v>0</v>
      </c>
      <c r="E28" s="1021">
        <f t="shared" si="2"/>
        <v>0</v>
      </c>
      <c r="F28" s="1017"/>
      <c r="G28" s="1017"/>
      <c r="H28" s="159"/>
      <c r="I28" s="1017"/>
      <c r="J28" s="1017"/>
      <c r="K28" s="1017"/>
      <c r="L28" s="1017"/>
      <c r="M28" s="1021">
        <f t="shared" si="3"/>
        <v>0</v>
      </c>
      <c r="N28" s="1018"/>
      <c r="O28" s="1073">
        <f t="shared" si="4"/>
        <v>0</v>
      </c>
      <c r="P28" s="1018"/>
      <c r="Q28" s="1073">
        <f t="shared" si="5"/>
        <v>0</v>
      </c>
      <c r="R28" s="1018"/>
      <c r="S28" s="1076" t="str">
        <f t="shared" si="0"/>
        <v>0</v>
      </c>
      <c r="T28" s="1073">
        <f t="shared" si="6"/>
        <v>0</v>
      </c>
      <c r="U28" s="1073">
        <f t="shared" si="7"/>
        <v>0</v>
      </c>
      <c r="V28" s="1073">
        <f t="shared" si="8"/>
        <v>0</v>
      </c>
      <c r="W28" s="1019"/>
      <c r="X28" s="1020"/>
      <c r="Y28" s="1017"/>
      <c r="Z28" s="1073">
        <f t="shared" si="9"/>
        <v>0</v>
      </c>
      <c r="AA28" s="1016"/>
      <c r="AB28" s="1018"/>
      <c r="AC28" s="1018"/>
      <c r="AD28" s="1017"/>
    </row>
    <row r="29" spans="1:30" ht="12.75">
      <c r="A29" s="1016"/>
      <c r="B29" s="1017"/>
      <c r="C29" s="1017"/>
      <c r="D29" s="1021">
        <f t="shared" si="1"/>
        <v>0</v>
      </c>
      <c r="E29" s="1021">
        <f t="shared" si="2"/>
        <v>0</v>
      </c>
      <c r="F29" s="1017"/>
      <c r="G29" s="1017"/>
      <c r="H29" s="159"/>
      <c r="I29" s="1017"/>
      <c r="J29" s="1017"/>
      <c r="K29" s="1017"/>
      <c r="L29" s="1017"/>
      <c r="M29" s="1021">
        <f t="shared" si="3"/>
        <v>0</v>
      </c>
      <c r="N29" s="1018"/>
      <c r="O29" s="1073">
        <f t="shared" si="4"/>
        <v>0</v>
      </c>
      <c r="P29" s="1018"/>
      <c r="Q29" s="1073">
        <f t="shared" si="5"/>
        <v>0</v>
      </c>
      <c r="R29" s="1018"/>
      <c r="S29" s="1076" t="str">
        <f t="shared" si="0"/>
        <v>0</v>
      </c>
      <c r="T29" s="1073">
        <f t="shared" si="6"/>
        <v>0</v>
      </c>
      <c r="U29" s="1073">
        <f t="shared" si="7"/>
        <v>0</v>
      </c>
      <c r="V29" s="1073">
        <f t="shared" si="8"/>
        <v>0</v>
      </c>
      <c r="W29" s="1019"/>
      <c r="X29" s="1020"/>
      <c r="Y29" s="1017"/>
      <c r="Z29" s="1073">
        <f t="shared" si="9"/>
        <v>0</v>
      </c>
      <c r="AA29" s="1016"/>
      <c r="AB29" s="1018"/>
      <c r="AC29" s="1018"/>
      <c r="AD29" s="1017"/>
    </row>
    <row r="30" spans="1:30" ht="12.75">
      <c r="A30" s="1016"/>
      <c r="B30" s="1017"/>
      <c r="C30" s="1017"/>
      <c r="D30" s="1021">
        <f t="shared" si="1"/>
        <v>0</v>
      </c>
      <c r="E30" s="1021">
        <f t="shared" si="2"/>
        <v>0</v>
      </c>
      <c r="F30" s="1017"/>
      <c r="G30" s="1017"/>
      <c r="H30" s="159"/>
      <c r="I30" s="1017"/>
      <c r="J30" s="1017"/>
      <c r="K30" s="1017"/>
      <c r="L30" s="1017"/>
      <c r="M30" s="1021">
        <f t="shared" si="3"/>
        <v>0</v>
      </c>
      <c r="N30" s="1018"/>
      <c r="O30" s="1073">
        <f t="shared" si="4"/>
        <v>0</v>
      </c>
      <c r="P30" s="1018"/>
      <c r="Q30" s="1073">
        <f t="shared" si="5"/>
        <v>0</v>
      </c>
      <c r="R30" s="1018"/>
      <c r="S30" s="1076" t="str">
        <f t="shared" si="0"/>
        <v>0</v>
      </c>
      <c r="T30" s="1073">
        <f t="shared" si="6"/>
        <v>0</v>
      </c>
      <c r="U30" s="1073">
        <f t="shared" si="7"/>
        <v>0</v>
      </c>
      <c r="V30" s="1073">
        <f t="shared" si="8"/>
        <v>0</v>
      </c>
      <c r="W30" s="1019"/>
      <c r="X30" s="1020"/>
      <c r="Y30" s="1017"/>
      <c r="Z30" s="1073">
        <f t="shared" si="9"/>
        <v>0</v>
      </c>
      <c r="AA30" s="1016"/>
      <c r="AB30" s="1018"/>
      <c r="AC30" s="1018"/>
      <c r="AD30" s="1017"/>
    </row>
    <row r="31" spans="1:30" ht="12.75">
      <c r="A31" s="1016"/>
      <c r="B31" s="1017"/>
      <c r="C31" s="1017"/>
      <c r="D31" s="1021">
        <f t="shared" si="1"/>
        <v>0</v>
      </c>
      <c r="E31" s="1021">
        <f t="shared" si="2"/>
        <v>0</v>
      </c>
      <c r="F31" s="1017"/>
      <c r="G31" s="1017"/>
      <c r="H31" s="159"/>
      <c r="I31" s="1017"/>
      <c r="J31" s="1017"/>
      <c r="K31" s="1017"/>
      <c r="L31" s="1017"/>
      <c r="M31" s="1021">
        <f t="shared" si="3"/>
        <v>0</v>
      </c>
      <c r="N31" s="1018"/>
      <c r="O31" s="1073">
        <f t="shared" si="4"/>
        <v>0</v>
      </c>
      <c r="P31" s="1018"/>
      <c r="Q31" s="1073">
        <f t="shared" si="5"/>
        <v>0</v>
      </c>
      <c r="R31" s="1018"/>
      <c r="S31" s="1076" t="str">
        <f t="shared" si="0"/>
        <v>0</v>
      </c>
      <c r="T31" s="1073">
        <f t="shared" si="6"/>
        <v>0</v>
      </c>
      <c r="U31" s="1073">
        <f t="shared" si="7"/>
        <v>0</v>
      </c>
      <c r="V31" s="1073">
        <f t="shared" si="8"/>
        <v>0</v>
      </c>
      <c r="W31" s="1019"/>
      <c r="X31" s="1020"/>
      <c r="Y31" s="1017"/>
      <c r="Z31" s="1073">
        <f t="shared" si="9"/>
        <v>0</v>
      </c>
      <c r="AA31" s="1016"/>
      <c r="AB31" s="1018"/>
      <c r="AC31" s="1018"/>
      <c r="AD31" s="1017"/>
    </row>
    <row r="32" spans="1:30" ht="12.75">
      <c r="A32" s="1016"/>
      <c r="B32" s="1017"/>
      <c r="C32" s="1017"/>
      <c r="D32" s="1021">
        <f t="shared" si="1"/>
        <v>0</v>
      </c>
      <c r="E32" s="1021">
        <f t="shared" si="2"/>
        <v>0</v>
      </c>
      <c r="F32" s="1017"/>
      <c r="G32" s="1017"/>
      <c r="H32" s="159"/>
      <c r="I32" s="1017"/>
      <c r="J32" s="1017"/>
      <c r="K32" s="1017"/>
      <c r="L32" s="1017"/>
      <c r="M32" s="1021">
        <f t="shared" si="3"/>
        <v>0</v>
      </c>
      <c r="N32" s="1018"/>
      <c r="O32" s="1073">
        <f t="shared" si="4"/>
        <v>0</v>
      </c>
      <c r="P32" s="1018"/>
      <c r="Q32" s="1073">
        <f t="shared" si="5"/>
        <v>0</v>
      </c>
      <c r="R32" s="1018"/>
      <c r="S32" s="1076" t="str">
        <f t="shared" si="0"/>
        <v>0</v>
      </c>
      <c r="T32" s="1073">
        <f t="shared" si="6"/>
        <v>0</v>
      </c>
      <c r="U32" s="1073">
        <f t="shared" si="7"/>
        <v>0</v>
      </c>
      <c r="V32" s="1073">
        <f t="shared" si="8"/>
        <v>0</v>
      </c>
      <c r="W32" s="1019"/>
      <c r="X32" s="1020"/>
      <c r="Y32" s="1017"/>
      <c r="Z32" s="1073">
        <f t="shared" si="9"/>
        <v>0</v>
      </c>
      <c r="AA32" s="1016"/>
      <c r="AB32" s="1018"/>
      <c r="AC32" s="1018"/>
      <c r="AD32" s="1017"/>
    </row>
    <row r="33" spans="1:30" ht="12.75">
      <c r="A33" s="1016"/>
      <c r="B33" s="1017"/>
      <c r="C33" s="1017"/>
      <c r="D33" s="1021">
        <f t="shared" si="1"/>
        <v>0</v>
      </c>
      <c r="E33" s="1021">
        <f t="shared" si="2"/>
        <v>0</v>
      </c>
      <c r="F33" s="1017"/>
      <c r="G33" s="1017"/>
      <c r="H33" s="159"/>
      <c r="I33" s="1017"/>
      <c r="J33" s="1017"/>
      <c r="K33" s="1017"/>
      <c r="L33" s="1017"/>
      <c r="M33" s="1021">
        <f t="shared" si="3"/>
        <v>0</v>
      </c>
      <c r="N33" s="1018"/>
      <c r="O33" s="1073">
        <f t="shared" si="4"/>
        <v>0</v>
      </c>
      <c r="P33" s="1018"/>
      <c r="Q33" s="1073">
        <f t="shared" si="5"/>
        <v>0</v>
      </c>
      <c r="R33" s="1018"/>
      <c r="S33" s="1076" t="str">
        <f t="shared" si="0"/>
        <v>0</v>
      </c>
      <c r="T33" s="1073">
        <f t="shared" si="6"/>
        <v>0</v>
      </c>
      <c r="U33" s="1073">
        <f t="shared" si="7"/>
        <v>0</v>
      </c>
      <c r="V33" s="1073">
        <f t="shared" si="8"/>
        <v>0</v>
      </c>
      <c r="W33" s="1019"/>
      <c r="X33" s="1020"/>
      <c r="Y33" s="1017"/>
      <c r="Z33" s="1073">
        <f t="shared" si="9"/>
        <v>0</v>
      </c>
      <c r="AA33" s="1016"/>
      <c r="AB33" s="1018"/>
      <c r="AC33" s="1018"/>
      <c r="AD33" s="1017"/>
    </row>
    <row r="34" spans="1:30" ht="12.75">
      <c r="A34" s="1016"/>
      <c r="B34" s="1017"/>
      <c r="C34" s="1017"/>
      <c r="D34" s="1021">
        <f t="shared" si="1"/>
        <v>0</v>
      </c>
      <c r="E34" s="1021">
        <f t="shared" si="2"/>
        <v>0</v>
      </c>
      <c r="F34" s="1017"/>
      <c r="G34" s="1017"/>
      <c r="H34" s="159"/>
      <c r="I34" s="1017"/>
      <c r="J34" s="1017"/>
      <c r="K34" s="1017"/>
      <c r="L34" s="1017"/>
      <c r="M34" s="1021">
        <f t="shared" si="3"/>
        <v>0</v>
      </c>
      <c r="N34" s="1018"/>
      <c r="O34" s="1073">
        <f t="shared" si="4"/>
        <v>0</v>
      </c>
      <c r="P34" s="1018"/>
      <c r="Q34" s="1073">
        <f t="shared" si="5"/>
        <v>0</v>
      </c>
      <c r="R34" s="1018"/>
      <c r="S34" s="1076" t="str">
        <f t="shared" si="0"/>
        <v>0</v>
      </c>
      <c r="T34" s="1073">
        <f t="shared" si="6"/>
        <v>0</v>
      </c>
      <c r="U34" s="1073">
        <f t="shared" si="7"/>
        <v>0</v>
      </c>
      <c r="V34" s="1073">
        <f t="shared" si="8"/>
        <v>0</v>
      </c>
      <c r="W34" s="1019"/>
      <c r="X34" s="1020"/>
      <c r="Y34" s="1017"/>
      <c r="Z34" s="1073">
        <f t="shared" si="9"/>
        <v>0</v>
      </c>
      <c r="AA34" s="1016"/>
      <c r="AB34" s="1018"/>
      <c r="AC34" s="1018"/>
      <c r="AD34" s="1017"/>
    </row>
    <row r="35" spans="1:30" ht="12.75">
      <c r="A35" s="1016"/>
      <c r="B35" s="1017"/>
      <c r="C35" s="1017"/>
      <c r="D35" s="1021">
        <f t="shared" si="1"/>
        <v>0</v>
      </c>
      <c r="E35" s="1021">
        <f t="shared" si="2"/>
        <v>0</v>
      </c>
      <c r="F35" s="1017"/>
      <c r="G35" s="1017"/>
      <c r="H35" s="159"/>
      <c r="I35" s="1017"/>
      <c r="J35" s="1017"/>
      <c r="K35" s="1017"/>
      <c r="L35" s="1017"/>
      <c r="M35" s="1021">
        <f t="shared" si="3"/>
        <v>0</v>
      </c>
      <c r="N35" s="1018"/>
      <c r="O35" s="1073">
        <f t="shared" si="4"/>
        <v>0</v>
      </c>
      <c r="P35" s="1018"/>
      <c r="Q35" s="1073">
        <f t="shared" si="5"/>
        <v>0</v>
      </c>
      <c r="R35" s="1018"/>
      <c r="S35" s="1076" t="str">
        <f t="shared" si="0"/>
        <v>0</v>
      </c>
      <c r="T35" s="1073">
        <f t="shared" si="6"/>
        <v>0</v>
      </c>
      <c r="U35" s="1073">
        <f t="shared" si="7"/>
        <v>0</v>
      </c>
      <c r="V35" s="1073">
        <f t="shared" si="8"/>
        <v>0</v>
      </c>
      <c r="W35" s="1019"/>
      <c r="X35" s="1020"/>
      <c r="Y35" s="1017"/>
      <c r="Z35" s="1073">
        <f t="shared" si="9"/>
        <v>0</v>
      </c>
      <c r="AA35" s="1016"/>
      <c r="AB35" s="1018"/>
      <c r="AC35" s="1018"/>
      <c r="AD35" s="1017"/>
    </row>
    <row r="36" spans="1:30" ht="12.75">
      <c r="A36" s="1016"/>
      <c r="B36" s="1017"/>
      <c r="C36" s="1017"/>
      <c r="D36" s="1021">
        <f t="shared" si="1"/>
        <v>0</v>
      </c>
      <c r="E36" s="1021">
        <f t="shared" si="2"/>
        <v>0</v>
      </c>
      <c r="F36" s="1017"/>
      <c r="G36" s="1017"/>
      <c r="H36" s="159"/>
      <c r="I36" s="1017"/>
      <c r="J36" s="1017"/>
      <c r="K36" s="1017"/>
      <c r="L36" s="1017"/>
      <c r="M36" s="1021">
        <f t="shared" si="3"/>
        <v>0</v>
      </c>
      <c r="N36" s="1018"/>
      <c r="O36" s="1073">
        <f t="shared" si="4"/>
        <v>0</v>
      </c>
      <c r="P36" s="1018"/>
      <c r="Q36" s="1073">
        <f t="shared" si="5"/>
        <v>0</v>
      </c>
      <c r="R36" s="1018"/>
      <c r="S36" s="1076" t="str">
        <f t="shared" si="0"/>
        <v>0</v>
      </c>
      <c r="T36" s="1073">
        <f t="shared" si="6"/>
        <v>0</v>
      </c>
      <c r="U36" s="1073">
        <f t="shared" si="7"/>
        <v>0</v>
      </c>
      <c r="V36" s="1073">
        <f t="shared" si="8"/>
        <v>0</v>
      </c>
      <c r="W36" s="1019"/>
      <c r="X36" s="1020"/>
      <c r="Y36" s="1017"/>
      <c r="Z36" s="1073">
        <f t="shared" si="9"/>
        <v>0</v>
      </c>
      <c r="AA36" s="1016"/>
      <c r="AB36" s="1018"/>
      <c r="AC36" s="1018"/>
      <c r="AD36" s="1017"/>
    </row>
    <row r="37" spans="1:30" ht="12.75">
      <c r="A37" s="1016"/>
      <c r="B37" s="1017"/>
      <c r="C37" s="1017"/>
      <c r="D37" s="1021">
        <f t="shared" si="1"/>
        <v>0</v>
      </c>
      <c r="E37" s="1021">
        <f t="shared" si="2"/>
        <v>0</v>
      </c>
      <c r="F37" s="1017"/>
      <c r="G37" s="1017"/>
      <c r="H37" s="159"/>
      <c r="I37" s="1017"/>
      <c r="J37" s="1017"/>
      <c r="K37" s="1017"/>
      <c r="L37" s="1017"/>
      <c r="M37" s="1021">
        <f t="shared" si="3"/>
        <v>0</v>
      </c>
      <c r="N37" s="1018"/>
      <c r="O37" s="1073">
        <f t="shared" si="4"/>
        <v>0</v>
      </c>
      <c r="P37" s="1018"/>
      <c r="Q37" s="1073">
        <f t="shared" si="5"/>
        <v>0</v>
      </c>
      <c r="R37" s="1018"/>
      <c r="S37" s="1076" t="str">
        <f t="shared" si="0"/>
        <v>0</v>
      </c>
      <c r="T37" s="1073">
        <f t="shared" si="6"/>
        <v>0</v>
      </c>
      <c r="U37" s="1073">
        <f t="shared" si="7"/>
        <v>0</v>
      </c>
      <c r="V37" s="1073">
        <f t="shared" si="8"/>
        <v>0</v>
      </c>
      <c r="W37" s="1019"/>
      <c r="X37" s="1020"/>
      <c r="Y37" s="1017"/>
      <c r="Z37" s="1073">
        <f t="shared" si="9"/>
        <v>0</v>
      </c>
      <c r="AA37" s="1016"/>
      <c r="AB37" s="1018"/>
      <c r="AC37" s="1018"/>
      <c r="AD37" s="1017"/>
    </row>
    <row r="38" spans="1:30" ht="12.75">
      <c r="A38" s="1016"/>
      <c r="B38" s="1017"/>
      <c r="C38" s="1017"/>
      <c r="D38" s="1021">
        <f t="shared" si="1"/>
        <v>0</v>
      </c>
      <c r="E38" s="1021">
        <f t="shared" si="2"/>
        <v>0</v>
      </c>
      <c r="F38" s="1017"/>
      <c r="G38" s="1017"/>
      <c r="H38" s="159"/>
      <c r="I38" s="1017"/>
      <c r="J38" s="1017"/>
      <c r="K38" s="1017"/>
      <c r="L38" s="1017"/>
      <c r="M38" s="1021">
        <f t="shared" si="3"/>
        <v>0</v>
      </c>
      <c r="N38" s="1018"/>
      <c r="O38" s="1073">
        <f t="shared" si="4"/>
        <v>0</v>
      </c>
      <c r="P38" s="1018"/>
      <c r="Q38" s="1073">
        <f t="shared" si="5"/>
        <v>0</v>
      </c>
      <c r="R38" s="1018"/>
      <c r="S38" s="1076" t="str">
        <f aca="true" t="shared" si="10" ref="S38:S69">IF(R38&gt;14.5,VLOOKUP(R38,tablita,2),"0")</f>
        <v>0</v>
      </c>
      <c r="T38" s="1073">
        <f t="shared" si="6"/>
        <v>0</v>
      </c>
      <c r="U38" s="1073">
        <f t="shared" si="7"/>
        <v>0</v>
      </c>
      <c r="V38" s="1073">
        <f t="shared" si="8"/>
        <v>0</v>
      </c>
      <c r="W38" s="1019"/>
      <c r="X38" s="1020"/>
      <c r="Y38" s="1017"/>
      <c r="Z38" s="1073">
        <f t="shared" si="9"/>
        <v>0</v>
      </c>
      <c r="AA38" s="1016"/>
      <c r="AB38" s="1018"/>
      <c r="AC38" s="1018"/>
      <c r="AD38" s="1017"/>
    </row>
    <row r="39" spans="1:30" ht="12.75">
      <c r="A39" s="1016"/>
      <c r="B39" s="1017"/>
      <c r="C39" s="1017"/>
      <c r="D39" s="1021">
        <f t="shared" si="1"/>
        <v>0</v>
      </c>
      <c r="E39" s="1021">
        <f t="shared" si="2"/>
        <v>0</v>
      </c>
      <c r="F39" s="1017"/>
      <c r="G39" s="1017"/>
      <c r="H39" s="159"/>
      <c r="I39" s="1017"/>
      <c r="J39" s="1017"/>
      <c r="K39" s="1017"/>
      <c r="L39" s="1017"/>
      <c r="M39" s="1021">
        <f t="shared" si="3"/>
        <v>0</v>
      </c>
      <c r="N39" s="1018"/>
      <c r="O39" s="1073">
        <f t="shared" si="4"/>
        <v>0</v>
      </c>
      <c r="P39" s="1018"/>
      <c r="Q39" s="1073">
        <f t="shared" si="5"/>
        <v>0</v>
      </c>
      <c r="R39" s="1018"/>
      <c r="S39" s="1076" t="str">
        <f t="shared" si="10"/>
        <v>0</v>
      </c>
      <c r="T39" s="1073">
        <f t="shared" si="6"/>
        <v>0</v>
      </c>
      <c r="U39" s="1073">
        <f t="shared" si="7"/>
        <v>0</v>
      </c>
      <c r="V39" s="1073">
        <f t="shared" si="8"/>
        <v>0</v>
      </c>
      <c r="W39" s="1019"/>
      <c r="X39" s="1020"/>
      <c r="Y39" s="1017"/>
      <c r="Z39" s="1073">
        <f t="shared" si="9"/>
        <v>0</v>
      </c>
      <c r="AA39" s="1016"/>
      <c r="AB39" s="1018"/>
      <c r="AC39" s="1018"/>
      <c r="AD39" s="1017"/>
    </row>
    <row r="40" spans="1:30" ht="12.75">
      <c r="A40" s="1016"/>
      <c r="B40" s="1017"/>
      <c r="C40" s="1017"/>
      <c r="D40" s="1021">
        <f t="shared" si="1"/>
        <v>0</v>
      </c>
      <c r="E40" s="1021">
        <f t="shared" si="2"/>
        <v>0</v>
      </c>
      <c r="F40" s="1017"/>
      <c r="G40" s="1017"/>
      <c r="H40" s="159"/>
      <c r="I40" s="1017"/>
      <c r="J40" s="1017"/>
      <c r="K40" s="1017"/>
      <c r="L40" s="1017"/>
      <c r="M40" s="1021">
        <f t="shared" si="3"/>
        <v>0</v>
      </c>
      <c r="N40" s="1018"/>
      <c r="O40" s="1073">
        <f t="shared" si="4"/>
        <v>0</v>
      </c>
      <c r="P40" s="1018"/>
      <c r="Q40" s="1073">
        <f t="shared" si="5"/>
        <v>0</v>
      </c>
      <c r="R40" s="1018"/>
      <c r="S40" s="1076" t="str">
        <f t="shared" si="10"/>
        <v>0</v>
      </c>
      <c r="T40" s="1073">
        <f t="shared" si="6"/>
        <v>0</v>
      </c>
      <c r="U40" s="1073">
        <f t="shared" si="7"/>
        <v>0</v>
      </c>
      <c r="V40" s="1073">
        <f t="shared" si="8"/>
        <v>0</v>
      </c>
      <c r="W40" s="1019"/>
      <c r="X40" s="1020"/>
      <c r="Y40" s="1017"/>
      <c r="Z40" s="1073">
        <f t="shared" si="9"/>
        <v>0</v>
      </c>
      <c r="AA40" s="1016"/>
      <c r="AB40" s="1018"/>
      <c r="AC40" s="1018"/>
      <c r="AD40" s="1017"/>
    </row>
    <row r="41" spans="1:30" ht="12.75">
      <c r="A41" s="1016"/>
      <c r="B41" s="1017"/>
      <c r="C41" s="1017"/>
      <c r="D41" s="1021">
        <f t="shared" si="1"/>
        <v>0</v>
      </c>
      <c r="E41" s="1021">
        <f t="shared" si="2"/>
        <v>0</v>
      </c>
      <c r="F41" s="1017"/>
      <c r="G41" s="1017"/>
      <c r="H41" s="159"/>
      <c r="I41" s="1017"/>
      <c r="J41" s="1017"/>
      <c r="K41" s="1017"/>
      <c r="L41" s="1017"/>
      <c r="M41" s="1021">
        <f t="shared" si="3"/>
        <v>0</v>
      </c>
      <c r="N41" s="1018"/>
      <c r="O41" s="1073">
        <f t="shared" si="4"/>
        <v>0</v>
      </c>
      <c r="P41" s="1018"/>
      <c r="Q41" s="1073">
        <f t="shared" si="5"/>
        <v>0</v>
      </c>
      <c r="R41" s="1018"/>
      <c r="S41" s="1076" t="str">
        <f t="shared" si="10"/>
        <v>0</v>
      </c>
      <c r="T41" s="1073">
        <f t="shared" si="6"/>
        <v>0</v>
      </c>
      <c r="U41" s="1073">
        <f t="shared" si="7"/>
        <v>0</v>
      </c>
      <c r="V41" s="1073">
        <f t="shared" si="8"/>
        <v>0</v>
      </c>
      <c r="W41" s="1019"/>
      <c r="X41" s="1020"/>
      <c r="Y41" s="1017"/>
      <c r="Z41" s="1073">
        <f t="shared" si="9"/>
        <v>0</v>
      </c>
      <c r="AA41" s="1016"/>
      <c r="AB41" s="1018"/>
      <c r="AC41" s="1018"/>
      <c r="AD41" s="1017"/>
    </row>
    <row r="42" spans="1:30" ht="12.75">
      <c r="A42" s="1016"/>
      <c r="B42" s="1017"/>
      <c r="C42" s="1017"/>
      <c r="D42" s="1021">
        <f t="shared" si="1"/>
        <v>0</v>
      </c>
      <c r="E42" s="1021">
        <f t="shared" si="2"/>
        <v>0</v>
      </c>
      <c r="F42" s="1017"/>
      <c r="G42" s="1017"/>
      <c r="H42" s="159"/>
      <c r="I42" s="1017"/>
      <c r="J42" s="1017"/>
      <c r="K42" s="1017"/>
      <c r="L42" s="1017"/>
      <c r="M42" s="1021">
        <f t="shared" si="3"/>
        <v>0</v>
      </c>
      <c r="N42" s="1018"/>
      <c r="O42" s="1073">
        <f t="shared" si="4"/>
        <v>0</v>
      </c>
      <c r="P42" s="1018"/>
      <c r="Q42" s="1073">
        <f t="shared" si="5"/>
        <v>0</v>
      </c>
      <c r="R42" s="1018"/>
      <c r="S42" s="1076" t="str">
        <f t="shared" si="10"/>
        <v>0</v>
      </c>
      <c r="T42" s="1073">
        <f t="shared" si="6"/>
        <v>0</v>
      </c>
      <c r="U42" s="1073">
        <f t="shared" si="7"/>
        <v>0</v>
      </c>
      <c r="V42" s="1073">
        <f t="shared" si="8"/>
        <v>0</v>
      </c>
      <c r="W42" s="1019"/>
      <c r="X42" s="1020"/>
      <c r="Y42" s="1017"/>
      <c r="Z42" s="1073">
        <f t="shared" si="9"/>
        <v>0</v>
      </c>
      <c r="AA42" s="1016"/>
      <c r="AB42" s="1018"/>
      <c r="AC42" s="1018"/>
      <c r="AD42" s="1017"/>
    </row>
    <row r="43" spans="1:30" ht="12.75">
      <c r="A43" s="1016"/>
      <c r="B43" s="1017"/>
      <c r="C43" s="1017"/>
      <c r="D43" s="1021">
        <f t="shared" si="1"/>
        <v>0</v>
      </c>
      <c r="E43" s="1021">
        <f t="shared" si="2"/>
        <v>0</v>
      </c>
      <c r="F43" s="1017"/>
      <c r="G43" s="1017"/>
      <c r="H43" s="159"/>
      <c r="I43" s="1017"/>
      <c r="J43" s="1017"/>
      <c r="K43" s="1017"/>
      <c r="L43" s="1017"/>
      <c r="M43" s="1021">
        <f t="shared" si="3"/>
        <v>0</v>
      </c>
      <c r="N43" s="1018"/>
      <c r="O43" s="1073">
        <f t="shared" si="4"/>
        <v>0</v>
      </c>
      <c r="P43" s="1018"/>
      <c r="Q43" s="1073">
        <f t="shared" si="5"/>
        <v>0</v>
      </c>
      <c r="R43" s="1018"/>
      <c r="S43" s="1076" t="str">
        <f t="shared" si="10"/>
        <v>0</v>
      </c>
      <c r="T43" s="1073">
        <f t="shared" si="6"/>
        <v>0</v>
      </c>
      <c r="U43" s="1073">
        <f t="shared" si="7"/>
        <v>0</v>
      </c>
      <c r="V43" s="1073">
        <f t="shared" si="8"/>
        <v>0</v>
      </c>
      <c r="W43" s="1019"/>
      <c r="X43" s="1020"/>
      <c r="Y43" s="1017"/>
      <c r="Z43" s="1073">
        <f t="shared" si="9"/>
        <v>0</v>
      </c>
      <c r="AA43" s="1016"/>
      <c r="AB43" s="1018"/>
      <c r="AC43" s="1018"/>
      <c r="AD43" s="1017"/>
    </row>
    <row r="44" spans="1:30" ht="12.75">
      <c r="A44" s="1016"/>
      <c r="B44" s="1017"/>
      <c r="C44" s="1017"/>
      <c r="D44" s="1021">
        <f t="shared" si="1"/>
        <v>0</v>
      </c>
      <c r="E44" s="1021">
        <f t="shared" si="2"/>
        <v>0</v>
      </c>
      <c r="F44" s="1017"/>
      <c r="G44" s="1017"/>
      <c r="H44" s="159"/>
      <c r="I44" s="1017"/>
      <c r="J44" s="1017"/>
      <c r="K44" s="1017"/>
      <c r="L44" s="1017"/>
      <c r="M44" s="1021">
        <f t="shared" si="3"/>
        <v>0</v>
      </c>
      <c r="N44" s="1018"/>
      <c r="O44" s="1073">
        <f t="shared" si="4"/>
        <v>0</v>
      </c>
      <c r="P44" s="1018"/>
      <c r="Q44" s="1073">
        <f t="shared" si="5"/>
        <v>0</v>
      </c>
      <c r="R44" s="1018"/>
      <c r="S44" s="1076" t="str">
        <f t="shared" si="10"/>
        <v>0</v>
      </c>
      <c r="T44" s="1073">
        <f t="shared" si="6"/>
        <v>0</v>
      </c>
      <c r="U44" s="1073">
        <f t="shared" si="7"/>
        <v>0</v>
      </c>
      <c r="V44" s="1073">
        <f t="shared" si="8"/>
        <v>0</v>
      </c>
      <c r="W44" s="1019"/>
      <c r="X44" s="1020"/>
      <c r="Y44" s="1017"/>
      <c r="Z44" s="1073">
        <f t="shared" si="9"/>
        <v>0</v>
      </c>
      <c r="AA44" s="1016"/>
      <c r="AB44" s="1018"/>
      <c r="AC44" s="1018"/>
      <c r="AD44" s="1017"/>
    </row>
    <row r="45" spans="1:30" ht="12.75">
      <c r="A45" s="1016"/>
      <c r="B45" s="1017"/>
      <c r="C45" s="1017"/>
      <c r="D45" s="1021">
        <f t="shared" si="1"/>
        <v>0</v>
      </c>
      <c r="E45" s="1021">
        <f t="shared" si="2"/>
        <v>0</v>
      </c>
      <c r="F45" s="1017"/>
      <c r="G45" s="1017"/>
      <c r="H45" s="159"/>
      <c r="I45" s="1017"/>
      <c r="J45" s="1017"/>
      <c r="K45" s="1017"/>
      <c r="L45" s="1017"/>
      <c r="M45" s="1021">
        <f t="shared" si="3"/>
        <v>0</v>
      </c>
      <c r="N45" s="1018"/>
      <c r="O45" s="1073">
        <f t="shared" si="4"/>
        <v>0</v>
      </c>
      <c r="P45" s="1018"/>
      <c r="Q45" s="1073">
        <f t="shared" si="5"/>
        <v>0</v>
      </c>
      <c r="R45" s="1018"/>
      <c r="S45" s="1076" t="str">
        <f t="shared" si="10"/>
        <v>0</v>
      </c>
      <c r="T45" s="1073">
        <f t="shared" si="6"/>
        <v>0</v>
      </c>
      <c r="U45" s="1073">
        <f t="shared" si="7"/>
        <v>0</v>
      </c>
      <c r="V45" s="1073">
        <f t="shared" si="8"/>
        <v>0</v>
      </c>
      <c r="W45" s="1019"/>
      <c r="X45" s="1020"/>
      <c r="Y45" s="1017"/>
      <c r="Z45" s="1073">
        <f t="shared" si="9"/>
        <v>0</v>
      </c>
      <c r="AA45" s="1016"/>
      <c r="AB45" s="1018"/>
      <c r="AC45" s="1018"/>
      <c r="AD45" s="1017"/>
    </row>
    <row r="46" spans="1:30" ht="12.75">
      <c r="A46" s="1016"/>
      <c r="B46" s="1017"/>
      <c r="C46" s="1017"/>
      <c r="D46" s="1021">
        <f t="shared" si="1"/>
        <v>0</v>
      </c>
      <c r="E46" s="1021">
        <f t="shared" si="2"/>
        <v>0</v>
      </c>
      <c r="F46" s="1017"/>
      <c r="G46" s="1017"/>
      <c r="H46" s="159"/>
      <c r="I46" s="1017"/>
      <c r="J46" s="1017"/>
      <c r="K46" s="1017"/>
      <c r="L46" s="1017"/>
      <c r="M46" s="1021">
        <f t="shared" si="3"/>
        <v>0</v>
      </c>
      <c r="N46" s="1018"/>
      <c r="O46" s="1073">
        <f t="shared" si="4"/>
        <v>0</v>
      </c>
      <c r="P46" s="1018"/>
      <c r="Q46" s="1073">
        <f t="shared" si="5"/>
        <v>0</v>
      </c>
      <c r="R46" s="1018"/>
      <c r="S46" s="1076" t="str">
        <f t="shared" si="10"/>
        <v>0</v>
      </c>
      <c r="T46" s="1073">
        <f t="shared" si="6"/>
        <v>0</v>
      </c>
      <c r="U46" s="1073">
        <f t="shared" si="7"/>
        <v>0</v>
      </c>
      <c r="V46" s="1073">
        <f t="shared" si="8"/>
        <v>0</v>
      </c>
      <c r="W46" s="1019"/>
      <c r="X46" s="1020"/>
      <c r="Y46" s="1017"/>
      <c r="Z46" s="1073">
        <f t="shared" si="9"/>
        <v>0</v>
      </c>
      <c r="AA46" s="1016"/>
      <c r="AB46" s="1018"/>
      <c r="AC46" s="1018"/>
      <c r="AD46" s="1017"/>
    </row>
    <row r="47" spans="1:30" ht="12.75">
      <c r="A47" s="1016"/>
      <c r="B47" s="1017"/>
      <c r="C47" s="1017"/>
      <c r="D47" s="1021">
        <f t="shared" si="1"/>
        <v>0</v>
      </c>
      <c r="E47" s="1021">
        <f t="shared" si="2"/>
        <v>0</v>
      </c>
      <c r="F47" s="1017"/>
      <c r="G47" s="1017"/>
      <c r="H47" s="159"/>
      <c r="I47" s="1017"/>
      <c r="J47" s="1017"/>
      <c r="K47" s="1017"/>
      <c r="L47" s="1017"/>
      <c r="M47" s="1021">
        <f t="shared" si="3"/>
        <v>0</v>
      </c>
      <c r="N47" s="1018"/>
      <c r="O47" s="1073">
        <f t="shared" si="4"/>
        <v>0</v>
      </c>
      <c r="P47" s="1018"/>
      <c r="Q47" s="1073">
        <f t="shared" si="5"/>
        <v>0</v>
      </c>
      <c r="R47" s="1018"/>
      <c r="S47" s="1076" t="str">
        <f t="shared" si="10"/>
        <v>0</v>
      </c>
      <c r="T47" s="1073">
        <f t="shared" si="6"/>
        <v>0</v>
      </c>
      <c r="U47" s="1073">
        <f t="shared" si="7"/>
        <v>0</v>
      </c>
      <c r="V47" s="1073">
        <f t="shared" si="8"/>
        <v>0</v>
      </c>
      <c r="W47" s="1019"/>
      <c r="X47" s="1020"/>
      <c r="Y47" s="1017"/>
      <c r="Z47" s="1073">
        <f t="shared" si="9"/>
        <v>0</v>
      </c>
      <c r="AA47" s="1016"/>
      <c r="AB47" s="1018"/>
      <c r="AC47" s="1018"/>
      <c r="AD47" s="1017"/>
    </row>
    <row r="48" spans="1:30" ht="12.75">
      <c r="A48" s="1016"/>
      <c r="B48" s="1017"/>
      <c r="C48" s="1017"/>
      <c r="D48" s="1021">
        <f t="shared" si="1"/>
        <v>0</v>
      </c>
      <c r="E48" s="1021">
        <f t="shared" si="2"/>
        <v>0</v>
      </c>
      <c r="F48" s="1017"/>
      <c r="G48" s="1017"/>
      <c r="H48" s="159"/>
      <c r="I48" s="1017"/>
      <c r="J48" s="1017"/>
      <c r="K48" s="1017"/>
      <c r="L48" s="1017"/>
      <c r="M48" s="1021">
        <f t="shared" si="3"/>
        <v>0</v>
      </c>
      <c r="N48" s="1018"/>
      <c r="O48" s="1073">
        <f t="shared" si="4"/>
        <v>0</v>
      </c>
      <c r="P48" s="1018"/>
      <c r="Q48" s="1073">
        <f t="shared" si="5"/>
        <v>0</v>
      </c>
      <c r="R48" s="1018"/>
      <c r="S48" s="1076" t="str">
        <f t="shared" si="10"/>
        <v>0</v>
      </c>
      <c r="T48" s="1073">
        <f t="shared" si="6"/>
        <v>0</v>
      </c>
      <c r="U48" s="1073">
        <f t="shared" si="7"/>
        <v>0</v>
      </c>
      <c r="V48" s="1073">
        <f t="shared" si="8"/>
        <v>0</v>
      </c>
      <c r="W48" s="1019"/>
      <c r="X48" s="1020"/>
      <c r="Y48" s="1017"/>
      <c r="Z48" s="1073">
        <f t="shared" si="9"/>
        <v>0</v>
      </c>
      <c r="AA48" s="1016"/>
      <c r="AB48" s="1018"/>
      <c r="AC48" s="1018"/>
      <c r="AD48" s="1017"/>
    </row>
    <row r="49" spans="1:30" ht="12.75">
      <c r="A49" s="1016"/>
      <c r="B49" s="1017"/>
      <c r="C49" s="1017"/>
      <c r="D49" s="1021">
        <f t="shared" si="1"/>
        <v>0</v>
      </c>
      <c r="E49" s="1021">
        <f t="shared" si="2"/>
        <v>0</v>
      </c>
      <c r="F49" s="1017"/>
      <c r="G49" s="1017"/>
      <c r="H49" s="159"/>
      <c r="I49" s="1017"/>
      <c r="J49" s="1017"/>
      <c r="K49" s="1017"/>
      <c r="L49" s="1017"/>
      <c r="M49" s="1021">
        <f t="shared" si="3"/>
        <v>0</v>
      </c>
      <c r="N49" s="1018"/>
      <c r="O49" s="1073">
        <f t="shared" si="4"/>
        <v>0</v>
      </c>
      <c r="P49" s="1018"/>
      <c r="Q49" s="1073">
        <f t="shared" si="5"/>
        <v>0</v>
      </c>
      <c r="R49" s="1018"/>
      <c r="S49" s="1076" t="str">
        <f t="shared" si="10"/>
        <v>0</v>
      </c>
      <c r="T49" s="1073">
        <f t="shared" si="6"/>
        <v>0</v>
      </c>
      <c r="U49" s="1073">
        <f t="shared" si="7"/>
        <v>0</v>
      </c>
      <c r="V49" s="1073">
        <f t="shared" si="8"/>
        <v>0</v>
      </c>
      <c r="W49" s="1019"/>
      <c r="X49" s="1020"/>
      <c r="Y49" s="1017"/>
      <c r="Z49" s="1073">
        <f t="shared" si="9"/>
        <v>0</v>
      </c>
      <c r="AA49" s="1016"/>
      <c r="AB49" s="1018"/>
      <c r="AC49" s="1018"/>
      <c r="AD49" s="1017"/>
    </row>
    <row r="50" spans="1:30" ht="12.75">
      <c r="A50" s="1016"/>
      <c r="B50" s="1017"/>
      <c r="C50" s="1017"/>
      <c r="D50" s="1021">
        <f t="shared" si="1"/>
        <v>0</v>
      </c>
      <c r="E50" s="1021">
        <f t="shared" si="2"/>
        <v>0</v>
      </c>
      <c r="F50" s="1017"/>
      <c r="G50" s="1017"/>
      <c r="H50" s="159"/>
      <c r="I50" s="1017"/>
      <c r="J50" s="1017"/>
      <c r="K50" s="1017"/>
      <c r="L50" s="1017"/>
      <c r="M50" s="1021">
        <f t="shared" si="3"/>
        <v>0</v>
      </c>
      <c r="N50" s="1018"/>
      <c r="O50" s="1073">
        <f t="shared" si="4"/>
        <v>0</v>
      </c>
      <c r="P50" s="1018"/>
      <c r="Q50" s="1073">
        <f t="shared" si="5"/>
        <v>0</v>
      </c>
      <c r="R50" s="1018"/>
      <c r="S50" s="1076" t="str">
        <f t="shared" si="10"/>
        <v>0</v>
      </c>
      <c r="T50" s="1073">
        <f t="shared" si="6"/>
        <v>0</v>
      </c>
      <c r="U50" s="1073">
        <f t="shared" si="7"/>
        <v>0</v>
      </c>
      <c r="V50" s="1073">
        <f t="shared" si="8"/>
        <v>0</v>
      </c>
      <c r="W50" s="1019"/>
      <c r="X50" s="1020"/>
      <c r="Y50" s="1017"/>
      <c r="Z50" s="1073">
        <f t="shared" si="9"/>
        <v>0</v>
      </c>
      <c r="AA50" s="1016"/>
      <c r="AB50" s="1018"/>
      <c r="AC50" s="1018"/>
      <c r="AD50" s="1017"/>
    </row>
    <row r="51" spans="1:30" ht="12.75">
      <c r="A51" s="1016"/>
      <c r="B51" s="1017"/>
      <c r="C51" s="1017"/>
      <c r="D51" s="1021">
        <f t="shared" si="1"/>
        <v>0</v>
      </c>
      <c r="E51" s="1021">
        <f t="shared" si="2"/>
        <v>0</v>
      </c>
      <c r="F51" s="1017"/>
      <c r="G51" s="1017"/>
      <c r="H51" s="159"/>
      <c r="I51" s="1017"/>
      <c r="J51" s="1017"/>
      <c r="K51" s="1017"/>
      <c r="L51" s="1017"/>
      <c r="M51" s="1021">
        <f t="shared" si="3"/>
        <v>0</v>
      </c>
      <c r="N51" s="1018"/>
      <c r="O51" s="1073">
        <f t="shared" si="4"/>
        <v>0</v>
      </c>
      <c r="P51" s="1018"/>
      <c r="Q51" s="1073">
        <f t="shared" si="5"/>
        <v>0</v>
      </c>
      <c r="R51" s="1018"/>
      <c r="S51" s="1076" t="str">
        <f t="shared" si="10"/>
        <v>0</v>
      </c>
      <c r="T51" s="1073">
        <f t="shared" si="6"/>
        <v>0</v>
      </c>
      <c r="U51" s="1073">
        <f t="shared" si="7"/>
        <v>0</v>
      </c>
      <c r="V51" s="1073">
        <f t="shared" si="8"/>
        <v>0</v>
      </c>
      <c r="W51" s="1019"/>
      <c r="X51" s="1020"/>
      <c r="Y51" s="1017"/>
      <c r="Z51" s="1073">
        <f t="shared" si="9"/>
        <v>0</v>
      </c>
      <c r="AA51" s="1016"/>
      <c r="AB51" s="1018"/>
      <c r="AC51" s="1018"/>
      <c r="AD51" s="1017"/>
    </row>
    <row r="52" spans="1:30" ht="12.75">
      <c r="A52" s="1016"/>
      <c r="B52" s="1017"/>
      <c r="C52" s="1017"/>
      <c r="D52" s="1021">
        <f t="shared" si="1"/>
        <v>0</v>
      </c>
      <c r="E52" s="1021">
        <f t="shared" si="2"/>
        <v>0</v>
      </c>
      <c r="F52" s="1017"/>
      <c r="G52" s="1017"/>
      <c r="H52" s="159"/>
      <c r="I52" s="1017"/>
      <c r="J52" s="1017"/>
      <c r="K52" s="1017"/>
      <c r="L52" s="1017"/>
      <c r="M52" s="1021">
        <f t="shared" si="3"/>
        <v>0</v>
      </c>
      <c r="N52" s="1018"/>
      <c r="O52" s="1073">
        <f t="shared" si="4"/>
        <v>0</v>
      </c>
      <c r="P52" s="1018"/>
      <c r="Q52" s="1073">
        <f t="shared" si="5"/>
        <v>0</v>
      </c>
      <c r="R52" s="1018"/>
      <c r="S52" s="1076" t="str">
        <f t="shared" si="10"/>
        <v>0</v>
      </c>
      <c r="T52" s="1073">
        <f t="shared" si="6"/>
        <v>0</v>
      </c>
      <c r="U52" s="1073">
        <f t="shared" si="7"/>
        <v>0</v>
      </c>
      <c r="V52" s="1073">
        <f t="shared" si="8"/>
        <v>0</v>
      </c>
      <c r="W52" s="1019"/>
      <c r="X52" s="1020"/>
      <c r="Y52" s="1017"/>
      <c r="Z52" s="1073">
        <f t="shared" si="9"/>
        <v>0</v>
      </c>
      <c r="AA52" s="1016"/>
      <c r="AB52" s="1018"/>
      <c r="AC52" s="1018"/>
      <c r="AD52" s="1017"/>
    </row>
    <row r="53" spans="1:30" ht="12.75">
      <c r="A53" s="1016"/>
      <c r="B53" s="1017"/>
      <c r="C53" s="1017"/>
      <c r="D53" s="1021">
        <f t="shared" si="1"/>
        <v>0</v>
      </c>
      <c r="E53" s="1021">
        <f t="shared" si="2"/>
        <v>0</v>
      </c>
      <c r="F53" s="1017"/>
      <c r="G53" s="1017"/>
      <c r="H53" s="159"/>
      <c r="I53" s="1017"/>
      <c r="J53" s="1017"/>
      <c r="K53" s="1017"/>
      <c r="L53" s="1017"/>
      <c r="M53" s="1021">
        <f t="shared" si="3"/>
        <v>0</v>
      </c>
      <c r="N53" s="1018"/>
      <c r="O53" s="1073">
        <f t="shared" si="4"/>
        <v>0</v>
      </c>
      <c r="P53" s="1018"/>
      <c r="Q53" s="1073">
        <f t="shared" si="5"/>
        <v>0</v>
      </c>
      <c r="R53" s="1018"/>
      <c r="S53" s="1076" t="str">
        <f t="shared" si="10"/>
        <v>0</v>
      </c>
      <c r="T53" s="1073">
        <f t="shared" si="6"/>
        <v>0</v>
      </c>
      <c r="U53" s="1073">
        <f t="shared" si="7"/>
        <v>0</v>
      </c>
      <c r="V53" s="1073">
        <f t="shared" si="8"/>
        <v>0</v>
      </c>
      <c r="W53" s="1019"/>
      <c r="X53" s="1020"/>
      <c r="Y53" s="1017"/>
      <c r="Z53" s="1073">
        <f t="shared" si="9"/>
        <v>0</v>
      </c>
      <c r="AA53" s="1016"/>
      <c r="AB53" s="1018"/>
      <c r="AC53" s="1018"/>
      <c r="AD53" s="1017"/>
    </row>
    <row r="54" spans="1:30" ht="12.75">
      <c r="A54" s="1016"/>
      <c r="B54" s="1017"/>
      <c r="C54" s="1017"/>
      <c r="D54" s="1021">
        <f t="shared" si="1"/>
        <v>0</v>
      </c>
      <c r="E54" s="1021">
        <f t="shared" si="2"/>
        <v>0</v>
      </c>
      <c r="F54" s="1017"/>
      <c r="G54" s="1017"/>
      <c r="H54" s="159"/>
      <c r="I54" s="1017"/>
      <c r="J54" s="1017"/>
      <c r="K54" s="1017"/>
      <c r="L54" s="1017"/>
      <c r="M54" s="1021">
        <f t="shared" si="3"/>
        <v>0</v>
      </c>
      <c r="N54" s="1018"/>
      <c r="O54" s="1073">
        <f t="shared" si="4"/>
        <v>0</v>
      </c>
      <c r="P54" s="1018"/>
      <c r="Q54" s="1073">
        <f t="shared" si="5"/>
        <v>0</v>
      </c>
      <c r="R54" s="1018"/>
      <c r="S54" s="1076" t="str">
        <f t="shared" si="10"/>
        <v>0</v>
      </c>
      <c r="T54" s="1073">
        <f t="shared" si="6"/>
        <v>0</v>
      </c>
      <c r="U54" s="1073">
        <f t="shared" si="7"/>
        <v>0</v>
      </c>
      <c r="V54" s="1073">
        <f t="shared" si="8"/>
        <v>0</v>
      </c>
      <c r="W54" s="1019"/>
      <c r="X54" s="1020"/>
      <c r="Y54" s="1017"/>
      <c r="Z54" s="1073">
        <f t="shared" si="9"/>
        <v>0</v>
      </c>
      <c r="AA54" s="1016"/>
      <c r="AB54" s="1018"/>
      <c r="AC54" s="1018"/>
      <c r="AD54" s="1017"/>
    </row>
    <row r="55" spans="1:30" ht="12.75">
      <c r="A55" s="1016"/>
      <c r="B55" s="1017"/>
      <c r="C55" s="1017"/>
      <c r="D55" s="1021">
        <f t="shared" si="1"/>
        <v>0</v>
      </c>
      <c r="E55" s="1021">
        <f t="shared" si="2"/>
        <v>0</v>
      </c>
      <c r="F55" s="1017"/>
      <c r="G55" s="1017"/>
      <c r="H55" s="159"/>
      <c r="I55" s="1017"/>
      <c r="J55" s="1017"/>
      <c r="K55" s="1017"/>
      <c r="L55" s="1017"/>
      <c r="M55" s="1021">
        <f t="shared" si="3"/>
        <v>0</v>
      </c>
      <c r="N55" s="1018"/>
      <c r="O55" s="1073">
        <f t="shared" si="4"/>
        <v>0</v>
      </c>
      <c r="P55" s="1018"/>
      <c r="Q55" s="1073">
        <f t="shared" si="5"/>
        <v>0</v>
      </c>
      <c r="R55" s="1018"/>
      <c r="S55" s="1076" t="str">
        <f t="shared" si="10"/>
        <v>0</v>
      </c>
      <c r="T55" s="1073">
        <f t="shared" si="6"/>
        <v>0</v>
      </c>
      <c r="U55" s="1073">
        <f t="shared" si="7"/>
        <v>0</v>
      </c>
      <c r="V55" s="1073">
        <f t="shared" si="8"/>
        <v>0</v>
      </c>
      <c r="W55" s="1019"/>
      <c r="X55" s="1020"/>
      <c r="Y55" s="1017"/>
      <c r="Z55" s="1073">
        <f t="shared" si="9"/>
        <v>0</v>
      </c>
      <c r="AA55" s="1016"/>
      <c r="AB55" s="1018"/>
      <c r="AC55" s="1018"/>
      <c r="AD55" s="1017"/>
    </row>
    <row r="56" spans="1:30" ht="12.75">
      <c r="A56" s="1016"/>
      <c r="B56" s="1017"/>
      <c r="C56" s="1017"/>
      <c r="D56" s="1021">
        <f t="shared" si="1"/>
        <v>0</v>
      </c>
      <c r="E56" s="1021">
        <f t="shared" si="2"/>
        <v>0</v>
      </c>
      <c r="F56" s="1017"/>
      <c r="G56" s="1017"/>
      <c r="H56" s="159"/>
      <c r="I56" s="1017"/>
      <c r="J56" s="1017"/>
      <c r="K56" s="1017"/>
      <c r="L56" s="1017"/>
      <c r="M56" s="1021">
        <f t="shared" si="3"/>
        <v>0</v>
      </c>
      <c r="N56" s="1018"/>
      <c r="O56" s="1073">
        <f t="shared" si="4"/>
        <v>0</v>
      </c>
      <c r="P56" s="1018"/>
      <c r="Q56" s="1073">
        <f t="shared" si="5"/>
        <v>0</v>
      </c>
      <c r="R56" s="1018"/>
      <c r="S56" s="1076" t="str">
        <f t="shared" si="10"/>
        <v>0</v>
      </c>
      <c r="T56" s="1073">
        <f t="shared" si="6"/>
        <v>0</v>
      </c>
      <c r="U56" s="1073">
        <f t="shared" si="7"/>
        <v>0</v>
      </c>
      <c r="V56" s="1073">
        <f t="shared" si="8"/>
        <v>0</v>
      </c>
      <c r="W56" s="1019"/>
      <c r="X56" s="1020"/>
      <c r="Y56" s="1017"/>
      <c r="Z56" s="1073">
        <f t="shared" si="9"/>
        <v>0</v>
      </c>
      <c r="AA56" s="1016"/>
      <c r="AB56" s="1018"/>
      <c r="AC56" s="1018"/>
      <c r="AD56" s="1017"/>
    </row>
    <row r="57" spans="1:30" ht="12.75">
      <c r="A57" s="1016"/>
      <c r="B57" s="1017"/>
      <c r="C57" s="1017"/>
      <c r="D57" s="1021">
        <f t="shared" si="1"/>
        <v>0</v>
      </c>
      <c r="E57" s="1021">
        <f t="shared" si="2"/>
        <v>0</v>
      </c>
      <c r="F57" s="1017"/>
      <c r="G57" s="1017"/>
      <c r="H57" s="159"/>
      <c r="I57" s="1017"/>
      <c r="J57" s="1017"/>
      <c r="K57" s="1017"/>
      <c r="L57" s="1017"/>
      <c r="M57" s="1021">
        <f t="shared" si="3"/>
        <v>0</v>
      </c>
      <c r="N57" s="1018"/>
      <c r="O57" s="1073">
        <f t="shared" si="4"/>
        <v>0</v>
      </c>
      <c r="P57" s="1018"/>
      <c r="Q57" s="1073">
        <f t="shared" si="5"/>
        <v>0</v>
      </c>
      <c r="R57" s="1018"/>
      <c r="S57" s="1076" t="str">
        <f t="shared" si="10"/>
        <v>0</v>
      </c>
      <c r="T57" s="1073">
        <f t="shared" si="6"/>
        <v>0</v>
      </c>
      <c r="U57" s="1073">
        <f t="shared" si="7"/>
        <v>0</v>
      </c>
      <c r="V57" s="1073">
        <f t="shared" si="8"/>
        <v>0</v>
      </c>
      <c r="W57" s="1020"/>
      <c r="X57" s="1020"/>
      <c r="Y57" s="1017"/>
      <c r="Z57" s="1073">
        <f t="shared" si="9"/>
        <v>0</v>
      </c>
      <c r="AA57" s="1017"/>
      <c r="AB57" s="1018"/>
      <c r="AC57" s="1018"/>
      <c r="AD57" s="1017"/>
    </row>
    <row r="58" spans="1:30" ht="12.75">
      <c r="A58" s="1016"/>
      <c r="B58" s="1017"/>
      <c r="C58" s="1017"/>
      <c r="D58" s="1021">
        <f t="shared" si="1"/>
        <v>0</v>
      </c>
      <c r="E58" s="1021">
        <f t="shared" si="2"/>
        <v>0</v>
      </c>
      <c r="F58" s="1017"/>
      <c r="G58" s="1017"/>
      <c r="H58" s="159"/>
      <c r="I58" s="1017"/>
      <c r="J58" s="1017"/>
      <c r="K58" s="1017"/>
      <c r="L58" s="1017"/>
      <c r="M58" s="1021">
        <f t="shared" si="3"/>
        <v>0</v>
      </c>
      <c r="N58" s="1018"/>
      <c r="O58" s="1073">
        <f t="shared" si="4"/>
        <v>0</v>
      </c>
      <c r="P58" s="1018"/>
      <c r="Q58" s="1073">
        <f t="shared" si="5"/>
        <v>0</v>
      </c>
      <c r="R58" s="1018"/>
      <c r="S58" s="1076" t="str">
        <f t="shared" si="10"/>
        <v>0</v>
      </c>
      <c r="T58" s="1073">
        <f t="shared" si="6"/>
        <v>0</v>
      </c>
      <c r="U58" s="1073">
        <f t="shared" si="7"/>
        <v>0</v>
      </c>
      <c r="V58" s="1073">
        <f t="shared" si="8"/>
        <v>0</v>
      </c>
      <c r="W58" s="1020"/>
      <c r="X58" s="1020"/>
      <c r="Y58" s="1017"/>
      <c r="Z58" s="1073">
        <f t="shared" si="9"/>
        <v>0</v>
      </c>
      <c r="AA58" s="1017"/>
      <c r="AB58" s="1018"/>
      <c r="AC58" s="1018"/>
      <c r="AD58" s="1017"/>
    </row>
    <row r="59" spans="1:30" ht="12.75">
      <c r="A59" s="1016"/>
      <c r="B59" s="1017"/>
      <c r="C59" s="1017"/>
      <c r="D59" s="1021">
        <f t="shared" si="1"/>
        <v>0</v>
      </c>
      <c r="E59" s="1021">
        <f t="shared" si="2"/>
        <v>0</v>
      </c>
      <c r="F59" s="1017"/>
      <c r="G59" s="1017"/>
      <c r="H59" s="159"/>
      <c r="I59" s="1017"/>
      <c r="J59" s="1017"/>
      <c r="K59" s="1017"/>
      <c r="L59" s="1017"/>
      <c r="M59" s="1021">
        <f t="shared" si="3"/>
        <v>0</v>
      </c>
      <c r="N59" s="1018"/>
      <c r="O59" s="1073">
        <f t="shared" si="4"/>
        <v>0</v>
      </c>
      <c r="P59" s="1018"/>
      <c r="Q59" s="1073">
        <f t="shared" si="5"/>
        <v>0</v>
      </c>
      <c r="R59" s="1018"/>
      <c r="S59" s="1076" t="str">
        <f t="shared" si="10"/>
        <v>0</v>
      </c>
      <c r="T59" s="1073">
        <f t="shared" si="6"/>
        <v>0</v>
      </c>
      <c r="U59" s="1073">
        <f t="shared" si="7"/>
        <v>0</v>
      </c>
      <c r="V59" s="1073">
        <f t="shared" si="8"/>
        <v>0</v>
      </c>
      <c r="W59" s="1020"/>
      <c r="X59" s="1020"/>
      <c r="Y59" s="1017"/>
      <c r="Z59" s="1073">
        <f t="shared" si="9"/>
        <v>0</v>
      </c>
      <c r="AA59" s="1017"/>
      <c r="AB59" s="1018"/>
      <c r="AC59" s="1018"/>
      <c r="AD59" s="1017"/>
    </row>
    <row r="60" spans="1:30" ht="12.75">
      <c r="A60" s="1016"/>
      <c r="B60" s="1017"/>
      <c r="C60" s="1017"/>
      <c r="D60" s="1021">
        <f t="shared" si="1"/>
        <v>0</v>
      </c>
      <c r="E60" s="1021">
        <f t="shared" si="2"/>
        <v>0</v>
      </c>
      <c r="F60" s="1017"/>
      <c r="G60" s="1017"/>
      <c r="H60" s="159"/>
      <c r="I60" s="1017"/>
      <c r="J60" s="1017"/>
      <c r="K60" s="1017"/>
      <c r="L60" s="1017"/>
      <c r="M60" s="1021">
        <f t="shared" si="3"/>
        <v>0</v>
      </c>
      <c r="N60" s="1018"/>
      <c r="O60" s="1073">
        <f t="shared" si="4"/>
        <v>0</v>
      </c>
      <c r="P60" s="1018"/>
      <c r="Q60" s="1073">
        <f t="shared" si="5"/>
        <v>0</v>
      </c>
      <c r="R60" s="1018"/>
      <c r="S60" s="1076" t="str">
        <f t="shared" si="10"/>
        <v>0</v>
      </c>
      <c r="T60" s="1073">
        <f t="shared" si="6"/>
        <v>0</v>
      </c>
      <c r="U60" s="1073">
        <f t="shared" si="7"/>
        <v>0</v>
      </c>
      <c r="V60" s="1073">
        <f t="shared" si="8"/>
        <v>0</v>
      </c>
      <c r="W60" s="1020"/>
      <c r="X60" s="1020"/>
      <c r="Y60" s="1017"/>
      <c r="Z60" s="1073">
        <f t="shared" si="9"/>
        <v>0</v>
      </c>
      <c r="AA60" s="1017"/>
      <c r="AB60" s="1018"/>
      <c r="AC60" s="1018"/>
      <c r="AD60" s="1017"/>
    </row>
    <row r="61" spans="1:30" ht="12.75">
      <c r="A61" s="1016"/>
      <c r="B61" s="1017"/>
      <c r="C61" s="1017"/>
      <c r="D61" s="1021">
        <f t="shared" si="1"/>
        <v>0</v>
      </c>
      <c r="E61" s="1021">
        <f t="shared" si="2"/>
        <v>0</v>
      </c>
      <c r="F61" s="1017"/>
      <c r="G61" s="1017"/>
      <c r="H61" s="159"/>
      <c r="I61" s="1017"/>
      <c r="J61" s="1017"/>
      <c r="K61" s="1017"/>
      <c r="L61" s="1017"/>
      <c r="M61" s="1021">
        <f t="shared" si="3"/>
        <v>0</v>
      </c>
      <c r="N61" s="1018"/>
      <c r="O61" s="1073">
        <f t="shared" si="4"/>
        <v>0</v>
      </c>
      <c r="P61" s="1018"/>
      <c r="Q61" s="1073">
        <f t="shared" si="5"/>
        <v>0</v>
      </c>
      <c r="R61" s="1018"/>
      <c r="S61" s="1076" t="str">
        <f t="shared" si="10"/>
        <v>0</v>
      </c>
      <c r="T61" s="1073">
        <f t="shared" si="6"/>
        <v>0</v>
      </c>
      <c r="U61" s="1073">
        <f t="shared" si="7"/>
        <v>0</v>
      </c>
      <c r="V61" s="1073">
        <f t="shared" si="8"/>
        <v>0</v>
      </c>
      <c r="W61" s="1020"/>
      <c r="X61" s="1020"/>
      <c r="Y61" s="1017"/>
      <c r="Z61" s="1073">
        <f t="shared" si="9"/>
        <v>0</v>
      </c>
      <c r="AA61" s="1017"/>
      <c r="AB61" s="1018"/>
      <c r="AC61" s="1018"/>
      <c r="AD61" s="1017"/>
    </row>
    <row r="62" spans="1:30" ht="12.75">
      <c r="A62" s="1016"/>
      <c r="B62" s="1017"/>
      <c r="C62" s="1017"/>
      <c r="D62" s="1021">
        <f t="shared" si="1"/>
        <v>0</v>
      </c>
      <c r="E62" s="1021">
        <f t="shared" si="2"/>
        <v>0</v>
      </c>
      <c r="F62" s="1017"/>
      <c r="G62" s="1017"/>
      <c r="H62" s="159"/>
      <c r="I62" s="1017"/>
      <c r="J62" s="1017"/>
      <c r="K62" s="1017"/>
      <c r="L62" s="1017"/>
      <c r="M62" s="1021">
        <f t="shared" si="3"/>
        <v>0</v>
      </c>
      <c r="N62" s="1018"/>
      <c r="O62" s="1073">
        <f t="shared" si="4"/>
        <v>0</v>
      </c>
      <c r="P62" s="1018"/>
      <c r="Q62" s="1073">
        <f t="shared" si="5"/>
        <v>0</v>
      </c>
      <c r="R62" s="1018"/>
      <c r="S62" s="1076" t="str">
        <f t="shared" si="10"/>
        <v>0</v>
      </c>
      <c r="T62" s="1073">
        <f t="shared" si="6"/>
        <v>0</v>
      </c>
      <c r="U62" s="1073">
        <f t="shared" si="7"/>
        <v>0</v>
      </c>
      <c r="V62" s="1073">
        <f t="shared" si="8"/>
        <v>0</v>
      </c>
      <c r="W62" s="1020"/>
      <c r="X62" s="1020"/>
      <c r="Y62" s="1017"/>
      <c r="Z62" s="1073">
        <f t="shared" si="9"/>
        <v>0</v>
      </c>
      <c r="AA62" s="1017"/>
      <c r="AB62" s="1018"/>
      <c r="AC62" s="1018"/>
      <c r="AD62" s="1017"/>
    </row>
    <row r="63" spans="1:30" ht="12.75">
      <c r="A63" s="1016"/>
      <c r="B63" s="1017"/>
      <c r="C63" s="1017"/>
      <c r="D63" s="1021">
        <f t="shared" si="1"/>
        <v>0</v>
      </c>
      <c r="E63" s="1021">
        <f t="shared" si="2"/>
        <v>0</v>
      </c>
      <c r="F63" s="1017"/>
      <c r="G63" s="1017"/>
      <c r="H63" s="159"/>
      <c r="I63" s="1017"/>
      <c r="J63" s="1017"/>
      <c r="K63" s="1017"/>
      <c r="L63" s="1017"/>
      <c r="M63" s="1021">
        <f t="shared" si="3"/>
        <v>0</v>
      </c>
      <c r="N63" s="1018"/>
      <c r="O63" s="1073">
        <f t="shared" si="4"/>
        <v>0</v>
      </c>
      <c r="P63" s="1018"/>
      <c r="Q63" s="1073">
        <f t="shared" si="5"/>
        <v>0</v>
      </c>
      <c r="R63" s="1018"/>
      <c r="S63" s="1076" t="str">
        <f t="shared" si="10"/>
        <v>0</v>
      </c>
      <c r="T63" s="1073">
        <f t="shared" si="6"/>
        <v>0</v>
      </c>
      <c r="U63" s="1073">
        <f t="shared" si="7"/>
        <v>0</v>
      </c>
      <c r="V63" s="1073">
        <f t="shared" si="8"/>
        <v>0</v>
      </c>
      <c r="W63" s="1020"/>
      <c r="X63" s="1020"/>
      <c r="Y63" s="1017"/>
      <c r="Z63" s="1073">
        <f t="shared" si="9"/>
        <v>0</v>
      </c>
      <c r="AA63" s="1017"/>
      <c r="AB63" s="1018"/>
      <c r="AC63" s="1018"/>
      <c r="AD63" s="1017"/>
    </row>
    <row r="64" spans="1:30" ht="12.75">
      <c r="A64" s="1016"/>
      <c r="B64" s="1017"/>
      <c r="C64" s="1017"/>
      <c r="D64" s="1021">
        <f t="shared" si="1"/>
        <v>0</v>
      </c>
      <c r="E64" s="1021">
        <f t="shared" si="2"/>
        <v>0</v>
      </c>
      <c r="F64" s="1017"/>
      <c r="G64" s="1017"/>
      <c r="H64" s="159"/>
      <c r="I64" s="1017"/>
      <c r="J64" s="1017"/>
      <c r="K64" s="1017"/>
      <c r="L64" s="1017"/>
      <c r="M64" s="1021">
        <f t="shared" si="3"/>
        <v>0</v>
      </c>
      <c r="N64" s="1018"/>
      <c r="O64" s="1073">
        <f t="shared" si="4"/>
        <v>0</v>
      </c>
      <c r="P64" s="1018"/>
      <c r="Q64" s="1073">
        <f t="shared" si="5"/>
        <v>0</v>
      </c>
      <c r="R64" s="1018"/>
      <c r="S64" s="1076" t="str">
        <f t="shared" si="10"/>
        <v>0</v>
      </c>
      <c r="T64" s="1073">
        <f t="shared" si="6"/>
        <v>0</v>
      </c>
      <c r="U64" s="1073">
        <f t="shared" si="7"/>
        <v>0</v>
      </c>
      <c r="V64" s="1073">
        <f t="shared" si="8"/>
        <v>0</v>
      </c>
      <c r="W64" s="1020"/>
      <c r="X64" s="1020"/>
      <c r="Y64" s="1017"/>
      <c r="Z64" s="1073">
        <f t="shared" si="9"/>
        <v>0</v>
      </c>
      <c r="AA64" s="1017"/>
      <c r="AB64" s="1018"/>
      <c r="AC64" s="1018"/>
      <c r="AD64" s="1017"/>
    </row>
    <row r="65" spans="1:30" ht="12.75">
      <c r="A65" s="1016"/>
      <c r="B65" s="1017"/>
      <c r="C65" s="1017"/>
      <c r="D65" s="1021">
        <f t="shared" si="1"/>
        <v>0</v>
      </c>
      <c r="E65" s="1021">
        <f t="shared" si="2"/>
        <v>0</v>
      </c>
      <c r="F65" s="1017"/>
      <c r="G65" s="1017"/>
      <c r="H65" s="159"/>
      <c r="I65" s="1017"/>
      <c r="J65" s="1017"/>
      <c r="K65" s="1017"/>
      <c r="L65" s="1017"/>
      <c r="M65" s="1021">
        <f t="shared" si="3"/>
        <v>0</v>
      </c>
      <c r="N65" s="1018"/>
      <c r="O65" s="1073">
        <f t="shared" si="4"/>
        <v>0</v>
      </c>
      <c r="P65" s="1018"/>
      <c r="Q65" s="1073">
        <f t="shared" si="5"/>
        <v>0</v>
      </c>
      <c r="R65" s="1018"/>
      <c r="S65" s="1076" t="str">
        <f t="shared" si="10"/>
        <v>0</v>
      </c>
      <c r="T65" s="1073">
        <f t="shared" si="6"/>
        <v>0</v>
      </c>
      <c r="U65" s="1073">
        <f t="shared" si="7"/>
        <v>0</v>
      </c>
      <c r="V65" s="1073">
        <f t="shared" si="8"/>
        <v>0</v>
      </c>
      <c r="W65" s="1020"/>
      <c r="X65" s="1020"/>
      <c r="Y65" s="1017"/>
      <c r="Z65" s="1073">
        <f t="shared" si="9"/>
        <v>0</v>
      </c>
      <c r="AA65" s="1017"/>
      <c r="AB65" s="1018"/>
      <c r="AC65" s="1018"/>
      <c r="AD65" s="1017"/>
    </row>
    <row r="66" spans="1:30" ht="12.75">
      <c r="A66" s="1016"/>
      <c r="B66" s="1017"/>
      <c r="C66" s="1017"/>
      <c r="D66" s="1021">
        <f t="shared" si="1"/>
        <v>0</v>
      </c>
      <c r="E66" s="1021">
        <f t="shared" si="2"/>
        <v>0</v>
      </c>
      <c r="F66" s="1017"/>
      <c r="G66" s="1017"/>
      <c r="H66" s="159"/>
      <c r="I66" s="1017"/>
      <c r="J66" s="1017"/>
      <c r="K66" s="1017"/>
      <c r="L66" s="1017"/>
      <c r="M66" s="1021">
        <f t="shared" si="3"/>
        <v>0</v>
      </c>
      <c r="N66" s="1018"/>
      <c r="O66" s="1073">
        <f t="shared" si="4"/>
        <v>0</v>
      </c>
      <c r="P66" s="1018"/>
      <c r="Q66" s="1073">
        <f t="shared" si="5"/>
        <v>0</v>
      </c>
      <c r="R66" s="1018"/>
      <c r="S66" s="1076" t="str">
        <f t="shared" si="10"/>
        <v>0</v>
      </c>
      <c r="T66" s="1073">
        <f t="shared" si="6"/>
        <v>0</v>
      </c>
      <c r="U66" s="1073">
        <f t="shared" si="7"/>
        <v>0</v>
      </c>
      <c r="V66" s="1073">
        <f t="shared" si="8"/>
        <v>0</v>
      </c>
      <c r="W66" s="1020"/>
      <c r="X66" s="1020"/>
      <c r="Y66" s="1017"/>
      <c r="Z66" s="1073">
        <f t="shared" si="9"/>
        <v>0</v>
      </c>
      <c r="AA66" s="1017"/>
      <c r="AB66" s="1018"/>
      <c r="AC66" s="1018"/>
      <c r="AD66" s="1017"/>
    </row>
    <row r="67" spans="1:30" ht="12.75">
      <c r="A67" s="1016"/>
      <c r="B67" s="1017"/>
      <c r="C67" s="1017"/>
      <c r="D67" s="1021">
        <f t="shared" si="1"/>
        <v>0</v>
      </c>
      <c r="E67" s="1021">
        <f t="shared" si="2"/>
        <v>0</v>
      </c>
      <c r="F67" s="1017"/>
      <c r="G67" s="1017"/>
      <c r="H67" s="159"/>
      <c r="I67" s="1017"/>
      <c r="J67" s="1017"/>
      <c r="K67" s="1017"/>
      <c r="L67" s="1017"/>
      <c r="M67" s="1021">
        <f t="shared" si="3"/>
        <v>0</v>
      </c>
      <c r="N67" s="1018"/>
      <c r="O67" s="1073">
        <f t="shared" si="4"/>
        <v>0</v>
      </c>
      <c r="P67" s="1018"/>
      <c r="Q67" s="1073">
        <f t="shared" si="5"/>
        <v>0</v>
      </c>
      <c r="R67" s="1018"/>
      <c r="S67" s="1076" t="str">
        <f t="shared" si="10"/>
        <v>0</v>
      </c>
      <c r="T67" s="1073">
        <f t="shared" si="6"/>
        <v>0</v>
      </c>
      <c r="U67" s="1073">
        <f t="shared" si="7"/>
        <v>0</v>
      </c>
      <c r="V67" s="1073">
        <f t="shared" si="8"/>
        <v>0</v>
      </c>
      <c r="W67" s="1020"/>
      <c r="X67" s="1020"/>
      <c r="Y67" s="1017"/>
      <c r="Z67" s="1073">
        <f t="shared" si="9"/>
        <v>0</v>
      </c>
      <c r="AA67" s="1017"/>
      <c r="AB67" s="1018"/>
      <c r="AC67" s="1018"/>
      <c r="AD67" s="1017"/>
    </row>
    <row r="68" spans="1:30" ht="12.75">
      <c r="A68" s="1016"/>
      <c r="B68" s="1017"/>
      <c r="C68" s="1017"/>
      <c r="D68" s="1021">
        <f t="shared" si="1"/>
        <v>0</v>
      </c>
      <c r="E68" s="1021">
        <f t="shared" si="2"/>
        <v>0</v>
      </c>
      <c r="F68" s="1017"/>
      <c r="G68" s="1017"/>
      <c r="H68" s="159"/>
      <c r="I68" s="1017"/>
      <c r="J68" s="1017"/>
      <c r="K68" s="1017"/>
      <c r="L68" s="1017"/>
      <c r="M68" s="1021">
        <f t="shared" si="3"/>
        <v>0</v>
      </c>
      <c r="N68" s="1018"/>
      <c r="O68" s="1073">
        <f t="shared" si="4"/>
        <v>0</v>
      </c>
      <c r="P68" s="1018"/>
      <c r="Q68" s="1073">
        <f t="shared" si="5"/>
        <v>0</v>
      </c>
      <c r="R68" s="1018"/>
      <c r="S68" s="1076" t="str">
        <f t="shared" si="10"/>
        <v>0</v>
      </c>
      <c r="T68" s="1073">
        <f t="shared" si="6"/>
        <v>0</v>
      </c>
      <c r="U68" s="1073">
        <f t="shared" si="7"/>
        <v>0</v>
      </c>
      <c r="V68" s="1073">
        <f t="shared" si="8"/>
        <v>0</v>
      </c>
      <c r="W68" s="1020"/>
      <c r="X68" s="1020"/>
      <c r="Y68" s="1017"/>
      <c r="Z68" s="1073">
        <f t="shared" si="9"/>
        <v>0</v>
      </c>
      <c r="AA68" s="1017"/>
      <c r="AB68" s="1018"/>
      <c r="AC68" s="1018"/>
      <c r="AD68" s="1017"/>
    </row>
    <row r="69" spans="1:30" ht="12.75">
      <c r="A69" s="1016"/>
      <c r="B69" s="1017"/>
      <c r="C69" s="1017"/>
      <c r="D69" s="1021">
        <f t="shared" si="1"/>
        <v>0</v>
      </c>
      <c r="E69" s="1021">
        <f t="shared" si="2"/>
        <v>0</v>
      </c>
      <c r="F69" s="1017"/>
      <c r="G69" s="1017"/>
      <c r="H69" s="159"/>
      <c r="I69" s="1017"/>
      <c r="J69" s="1017"/>
      <c r="K69" s="1017"/>
      <c r="L69" s="1017"/>
      <c r="M69" s="1021">
        <f t="shared" si="3"/>
        <v>0</v>
      </c>
      <c r="N69" s="1018"/>
      <c r="O69" s="1073">
        <f t="shared" si="4"/>
        <v>0</v>
      </c>
      <c r="P69" s="1018"/>
      <c r="Q69" s="1073">
        <f t="shared" si="5"/>
        <v>0</v>
      </c>
      <c r="R69" s="1018"/>
      <c r="S69" s="1076" t="str">
        <f t="shared" si="10"/>
        <v>0</v>
      </c>
      <c r="T69" s="1073">
        <f t="shared" si="6"/>
        <v>0</v>
      </c>
      <c r="U69" s="1073">
        <f t="shared" si="7"/>
        <v>0</v>
      </c>
      <c r="V69" s="1073">
        <f t="shared" si="8"/>
        <v>0</v>
      </c>
      <c r="W69" s="1020"/>
      <c r="X69" s="1020"/>
      <c r="Y69" s="1017"/>
      <c r="Z69" s="1073">
        <f t="shared" si="9"/>
        <v>0</v>
      </c>
      <c r="AA69" s="1017"/>
      <c r="AB69" s="1018"/>
      <c r="AC69" s="1018"/>
      <c r="AD69" s="1017"/>
    </row>
    <row r="70" spans="1:30" ht="12.75">
      <c r="A70" s="1016"/>
      <c r="B70" s="1017"/>
      <c r="C70" s="1017"/>
      <c r="D70" s="1021">
        <f t="shared" si="1"/>
        <v>0</v>
      </c>
      <c r="E70" s="1021">
        <f t="shared" si="2"/>
        <v>0</v>
      </c>
      <c r="F70" s="1017"/>
      <c r="G70" s="1017"/>
      <c r="H70" s="159"/>
      <c r="I70" s="1017"/>
      <c r="J70" s="1017"/>
      <c r="K70" s="1017"/>
      <c r="L70" s="1017"/>
      <c r="M70" s="1021">
        <f t="shared" si="3"/>
        <v>0</v>
      </c>
      <c r="N70" s="1018"/>
      <c r="O70" s="1073">
        <f t="shared" si="4"/>
        <v>0</v>
      </c>
      <c r="P70" s="1018"/>
      <c r="Q70" s="1073">
        <f t="shared" si="5"/>
        <v>0</v>
      </c>
      <c r="R70" s="1018"/>
      <c r="S70" s="1076" t="str">
        <f aca="true" t="shared" si="11" ref="S70:S101">IF(R70&gt;14.5,VLOOKUP(R70,tablita,2),"0")</f>
        <v>0</v>
      </c>
      <c r="T70" s="1073">
        <f t="shared" si="6"/>
        <v>0</v>
      </c>
      <c r="U70" s="1073">
        <f t="shared" si="7"/>
        <v>0</v>
      </c>
      <c r="V70" s="1073">
        <f t="shared" si="8"/>
        <v>0</v>
      </c>
      <c r="W70" s="1020"/>
      <c r="X70" s="1020"/>
      <c r="Y70" s="1017"/>
      <c r="Z70" s="1073">
        <f t="shared" si="9"/>
        <v>0</v>
      </c>
      <c r="AA70" s="1017"/>
      <c r="AB70" s="1018"/>
      <c r="AC70" s="1018"/>
      <c r="AD70" s="1017"/>
    </row>
    <row r="71" spans="1:30" ht="12.75">
      <c r="A71" s="1016"/>
      <c r="B71" s="1017"/>
      <c r="C71" s="1017"/>
      <c r="D71" s="1021">
        <f aca="true" t="shared" si="12" ref="D71:D134">C71*$E$3</f>
        <v>0</v>
      </c>
      <c r="E71" s="1021">
        <f aca="true" t="shared" si="13" ref="E71:E134">C71-D71</f>
        <v>0</v>
      </c>
      <c r="F71" s="1017"/>
      <c r="G71" s="1017"/>
      <c r="H71" s="159"/>
      <c r="I71" s="1017"/>
      <c r="J71" s="1017"/>
      <c r="K71" s="1017"/>
      <c r="L71" s="1017"/>
      <c r="M71" s="1021">
        <f aca="true" t="shared" si="14" ref="M71:M134">E71-L71</f>
        <v>0</v>
      </c>
      <c r="N71" s="1018"/>
      <c r="O71" s="1073">
        <f aca="true" t="shared" si="15" ref="O71:O134">IF(N71&lt;3.01,(L71*(N71-1)*1%),(L71*(N71-3)*1.5%))</f>
        <v>0</v>
      </c>
      <c r="P71" s="1018"/>
      <c r="Q71" s="1073">
        <f aca="true" t="shared" si="16" ref="Q71:Q134">IF(P71&lt;25.01,(L71*(P71-20)*0.25%),(L71*(P71-25)*0.5%))</f>
        <v>0</v>
      </c>
      <c r="R71" s="1018"/>
      <c r="S71" s="1076" t="str">
        <f t="shared" si="11"/>
        <v>0</v>
      </c>
      <c r="T71" s="1073">
        <f aca="true" t="shared" si="17" ref="T71:T134">L71*S71/100</f>
        <v>0</v>
      </c>
      <c r="U71" s="1073">
        <f aca="true" t="shared" si="18" ref="U71:U134">O71+Q71+T71</f>
        <v>0</v>
      </c>
      <c r="V71" s="1073">
        <f aca="true" t="shared" si="19" ref="V71:V134">L71-U71</f>
        <v>0</v>
      </c>
      <c r="W71" s="1019"/>
      <c r="X71" s="1020"/>
      <c r="Y71" s="1017"/>
      <c r="Z71" s="1073">
        <f aca="true" t="shared" si="20" ref="Z71:Z134">L71*Y71/1000</f>
        <v>0</v>
      </c>
      <c r="AA71" s="1016"/>
      <c r="AB71" s="1018"/>
      <c r="AC71" s="1018"/>
      <c r="AD71" s="1017"/>
    </row>
    <row r="72" spans="1:30" ht="12.75">
      <c r="A72" s="1016"/>
      <c r="B72" s="1017"/>
      <c r="C72" s="1017"/>
      <c r="D72" s="1021">
        <f t="shared" si="12"/>
        <v>0</v>
      </c>
      <c r="E72" s="1021">
        <f t="shared" si="13"/>
        <v>0</v>
      </c>
      <c r="F72" s="1017"/>
      <c r="G72" s="1017"/>
      <c r="H72" s="159"/>
      <c r="I72" s="1017"/>
      <c r="J72" s="1017"/>
      <c r="K72" s="1017"/>
      <c r="L72" s="1017"/>
      <c r="M72" s="1021">
        <f t="shared" si="14"/>
        <v>0</v>
      </c>
      <c r="N72" s="1018"/>
      <c r="O72" s="1073">
        <f t="shared" si="15"/>
        <v>0</v>
      </c>
      <c r="P72" s="1018"/>
      <c r="Q72" s="1073">
        <f t="shared" si="16"/>
        <v>0</v>
      </c>
      <c r="R72" s="1018"/>
      <c r="S72" s="1076" t="str">
        <f t="shared" si="11"/>
        <v>0</v>
      </c>
      <c r="T72" s="1073">
        <f t="shared" si="17"/>
        <v>0</v>
      </c>
      <c r="U72" s="1073">
        <f t="shared" si="18"/>
        <v>0</v>
      </c>
      <c r="V72" s="1073">
        <f t="shared" si="19"/>
        <v>0</v>
      </c>
      <c r="W72" s="1019"/>
      <c r="X72" s="1020"/>
      <c r="Y72" s="1017"/>
      <c r="Z72" s="1073">
        <f t="shared" si="20"/>
        <v>0</v>
      </c>
      <c r="AA72" s="1016"/>
      <c r="AB72" s="1018"/>
      <c r="AC72" s="1018"/>
      <c r="AD72" s="1017"/>
    </row>
    <row r="73" spans="1:30" ht="12.75">
      <c r="A73" s="1016"/>
      <c r="B73" s="1017"/>
      <c r="C73" s="1017"/>
      <c r="D73" s="1021">
        <f t="shared" si="12"/>
        <v>0</v>
      </c>
      <c r="E73" s="1021">
        <f t="shared" si="13"/>
        <v>0</v>
      </c>
      <c r="F73" s="1017"/>
      <c r="G73" s="1017"/>
      <c r="H73" s="159"/>
      <c r="I73" s="1017"/>
      <c r="J73" s="1017"/>
      <c r="K73" s="1017"/>
      <c r="L73" s="1017"/>
      <c r="M73" s="1021">
        <f t="shared" si="14"/>
        <v>0</v>
      </c>
      <c r="N73" s="1018"/>
      <c r="O73" s="1073">
        <f t="shared" si="15"/>
        <v>0</v>
      </c>
      <c r="P73" s="1018"/>
      <c r="Q73" s="1073">
        <f t="shared" si="16"/>
        <v>0</v>
      </c>
      <c r="R73" s="1018"/>
      <c r="S73" s="1076" t="str">
        <f t="shared" si="11"/>
        <v>0</v>
      </c>
      <c r="T73" s="1073">
        <f t="shared" si="17"/>
        <v>0</v>
      </c>
      <c r="U73" s="1073">
        <f t="shared" si="18"/>
        <v>0</v>
      </c>
      <c r="V73" s="1073">
        <f t="shared" si="19"/>
        <v>0</v>
      </c>
      <c r="W73" s="1019"/>
      <c r="X73" s="1020"/>
      <c r="Y73" s="1017"/>
      <c r="Z73" s="1073">
        <f t="shared" si="20"/>
        <v>0</v>
      </c>
      <c r="AA73" s="1016"/>
      <c r="AB73" s="1018"/>
      <c r="AC73" s="1018"/>
      <c r="AD73" s="1017"/>
    </row>
    <row r="74" spans="1:30" ht="12.75">
      <c r="A74" s="1016"/>
      <c r="B74" s="1017"/>
      <c r="C74" s="1017"/>
      <c r="D74" s="1021">
        <f t="shared" si="12"/>
        <v>0</v>
      </c>
      <c r="E74" s="1021">
        <f t="shared" si="13"/>
        <v>0</v>
      </c>
      <c r="F74" s="1017"/>
      <c r="G74" s="1017"/>
      <c r="H74" s="159"/>
      <c r="I74" s="1017"/>
      <c r="J74" s="1017"/>
      <c r="K74" s="1017"/>
      <c r="L74" s="1017"/>
      <c r="M74" s="1021">
        <f t="shared" si="14"/>
        <v>0</v>
      </c>
      <c r="N74" s="1018"/>
      <c r="O74" s="1073">
        <f t="shared" si="15"/>
        <v>0</v>
      </c>
      <c r="P74" s="1018"/>
      <c r="Q74" s="1073">
        <f t="shared" si="16"/>
        <v>0</v>
      </c>
      <c r="R74" s="1018"/>
      <c r="S74" s="1076" t="str">
        <f t="shared" si="11"/>
        <v>0</v>
      </c>
      <c r="T74" s="1073">
        <f t="shared" si="17"/>
        <v>0</v>
      </c>
      <c r="U74" s="1073">
        <f t="shared" si="18"/>
        <v>0</v>
      </c>
      <c r="V74" s="1073">
        <f t="shared" si="19"/>
        <v>0</v>
      </c>
      <c r="W74" s="1019"/>
      <c r="X74" s="1020"/>
      <c r="Y74" s="1017"/>
      <c r="Z74" s="1073">
        <f t="shared" si="20"/>
        <v>0</v>
      </c>
      <c r="AA74" s="1016"/>
      <c r="AB74" s="1018"/>
      <c r="AC74" s="1018"/>
      <c r="AD74" s="1017"/>
    </row>
    <row r="75" spans="1:30" ht="12.75">
      <c r="A75" s="1016"/>
      <c r="B75" s="1017"/>
      <c r="C75" s="1017"/>
      <c r="D75" s="1021">
        <f t="shared" si="12"/>
        <v>0</v>
      </c>
      <c r="E75" s="1021">
        <f t="shared" si="13"/>
        <v>0</v>
      </c>
      <c r="F75" s="1017"/>
      <c r="G75" s="1017"/>
      <c r="H75" s="159"/>
      <c r="I75" s="1017"/>
      <c r="J75" s="1017"/>
      <c r="K75" s="1017"/>
      <c r="L75" s="1017"/>
      <c r="M75" s="1021">
        <f t="shared" si="14"/>
        <v>0</v>
      </c>
      <c r="N75" s="1018"/>
      <c r="O75" s="1073">
        <f t="shared" si="15"/>
        <v>0</v>
      </c>
      <c r="P75" s="1018"/>
      <c r="Q75" s="1073">
        <f t="shared" si="16"/>
        <v>0</v>
      </c>
      <c r="R75" s="1018"/>
      <c r="S75" s="1076" t="str">
        <f t="shared" si="11"/>
        <v>0</v>
      </c>
      <c r="T75" s="1073">
        <f t="shared" si="17"/>
        <v>0</v>
      </c>
      <c r="U75" s="1073">
        <f t="shared" si="18"/>
        <v>0</v>
      </c>
      <c r="V75" s="1073">
        <f t="shared" si="19"/>
        <v>0</v>
      </c>
      <c r="W75" s="1019"/>
      <c r="X75" s="1020"/>
      <c r="Y75" s="1017"/>
      <c r="Z75" s="1073">
        <f t="shared" si="20"/>
        <v>0</v>
      </c>
      <c r="AA75" s="1016"/>
      <c r="AB75" s="1018"/>
      <c r="AC75" s="1018"/>
      <c r="AD75" s="1017"/>
    </row>
    <row r="76" spans="1:30" ht="12.75">
      <c r="A76" s="1016"/>
      <c r="B76" s="1017"/>
      <c r="C76" s="1017"/>
      <c r="D76" s="1021">
        <f t="shared" si="12"/>
        <v>0</v>
      </c>
      <c r="E76" s="1021">
        <f t="shared" si="13"/>
        <v>0</v>
      </c>
      <c r="F76" s="1017"/>
      <c r="G76" s="1017"/>
      <c r="H76" s="159"/>
      <c r="I76" s="1017"/>
      <c r="J76" s="1017"/>
      <c r="K76" s="1017"/>
      <c r="L76" s="1017"/>
      <c r="M76" s="1021">
        <f t="shared" si="14"/>
        <v>0</v>
      </c>
      <c r="N76" s="1018"/>
      <c r="O76" s="1073">
        <f t="shared" si="15"/>
        <v>0</v>
      </c>
      <c r="P76" s="1018"/>
      <c r="Q76" s="1073">
        <f t="shared" si="16"/>
        <v>0</v>
      </c>
      <c r="R76" s="1018"/>
      <c r="S76" s="1076" t="str">
        <f t="shared" si="11"/>
        <v>0</v>
      </c>
      <c r="T76" s="1073">
        <f t="shared" si="17"/>
        <v>0</v>
      </c>
      <c r="U76" s="1073">
        <f t="shared" si="18"/>
        <v>0</v>
      </c>
      <c r="V76" s="1073">
        <f t="shared" si="19"/>
        <v>0</v>
      </c>
      <c r="W76" s="1020"/>
      <c r="X76" s="1020"/>
      <c r="Y76" s="1017"/>
      <c r="Z76" s="1073">
        <f t="shared" si="20"/>
        <v>0</v>
      </c>
      <c r="AA76" s="1017"/>
      <c r="AB76" s="1018"/>
      <c r="AC76" s="1018"/>
      <c r="AD76" s="1017"/>
    </row>
    <row r="77" spans="1:30" ht="12.75">
      <c r="A77" s="1016"/>
      <c r="B77" s="1017"/>
      <c r="C77" s="1017"/>
      <c r="D77" s="1021">
        <f t="shared" si="12"/>
        <v>0</v>
      </c>
      <c r="E77" s="1021">
        <f t="shared" si="13"/>
        <v>0</v>
      </c>
      <c r="F77" s="1017"/>
      <c r="G77" s="1017"/>
      <c r="H77" s="159"/>
      <c r="I77" s="1017"/>
      <c r="J77" s="1017"/>
      <c r="K77" s="1017"/>
      <c r="L77" s="1017"/>
      <c r="M77" s="1021">
        <f t="shared" si="14"/>
        <v>0</v>
      </c>
      <c r="N77" s="1018"/>
      <c r="O77" s="1073">
        <f t="shared" si="15"/>
        <v>0</v>
      </c>
      <c r="P77" s="1018"/>
      <c r="Q77" s="1073">
        <f t="shared" si="16"/>
        <v>0</v>
      </c>
      <c r="R77" s="1018"/>
      <c r="S77" s="1076" t="str">
        <f t="shared" si="11"/>
        <v>0</v>
      </c>
      <c r="T77" s="1073">
        <f t="shared" si="17"/>
        <v>0</v>
      </c>
      <c r="U77" s="1073">
        <f t="shared" si="18"/>
        <v>0</v>
      </c>
      <c r="V77" s="1073">
        <f t="shared" si="19"/>
        <v>0</v>
      </c>
      <c r="W77" s="1020"/>
      <c r="X77" s="1020"/>
      <c r="Y77" s="1017"/>
      <c r="Z77" s="1073">
        <f t="shared" si="20"/>
        <v>0</v>
      </c>
      <c r="AA77" s="1017"/>
      <c r="AB77" s="1018"/>
      <c r="AC77" s="1018"/>
      <c r="AD77" s="1017"/>
    </row>
    <row r="78" spans="1:30" ht="12.75">
      <c r="A78" s="1016"/>
      <c r="B78" s="1017"/>
      <c r="C78" s="1017"/>
      <c r="D78" s="1021">
        <f t="shared" si="12"/>
        <v>0</v>
      </c>
      <c r="E78" s="1021">
        <f t="shared" si="13"/>
        <v>0</v>
      </c>
      <c r="F78" s="1017"/>
      <c r="G78" s="1017"/>
      <c r="H78" s="159"/>
      <c r="I78" s="1017"/>
      <c r="J78" s="1017"/>
      <c r="K78" s="1017"/>
      <c r="L78" s="1017"/>
      <c r="M78" s="1021">
        <f t="shared" si="14"/>
        <v>0</v>
      </c>
      <c r="N78" s="1018"/>
      <c r="O78" s="1073">
        <f t="shared" si="15"/>
        <v>0</v>
      </c>
      <c r="P78" s="1018"/>
      <c r="Q78" s="1073">
        <f t="shared" si="16"/>
        <v>0</v>
      </c>
      <c r="R78" s="1018"/>
      <c r="S78" s="1076" t="str">
        <f t="shared" si="11"/>
        <v>0</v>
      </c>
      <c r="T78" s="1073">
        <f t="shared" si="17"/>
        <v>0</v>
      </c>
      <c r="U78" s="1073">
        <f t="shared" si="18"/>
        <v>0</v>
      </c>
      <c r="V78" s="1073">
        <f t="shared" si="19"/>
        <v>0</v>
      </c>
      <c r="W78" s="1020"/>
      <c r="X78" s="1020"/>
      <c r="Y78" s="1017"/>
      <c r="Z78" s="1073">
        <f t="shared" si="20"/>
        <v>0</v>
      </c>
      <c r="AA78" s="1017"/>
      <c r="AB78" s="1018"/>
      <c r="AC78" s="1018"/>
      <c r="AD78" s="1017"/>
    </row>
    <row r="79" spans="1:30" ht="12.75">
      <c r="A79" s="1016"/>
      <c r="B79" s="1017"/>
      <c r="C79" s="1017"/>
      <c r="D79" s="1021">
        <f t="shared" si="12"/>
        <v>0</v>
      </c>
      <c r="E79" s="1021">
        <f t="shared" si="13"/>
        <v>0</v>
      </c>
      <c r="F79" s="1017"/>
      <c r="G79" s="1017"/>
      <c r="H79" s="159"/>
      <c r="I79" s="1017"/>
      <c r="J79" s="1017"/>
      <c r="K79" s="1017"/>
      <c r="L79" s="1017"/>
      <c r="M79" s="1021">
        <f t="shared" si="14"/>
        <v>0</v>
      </c>
      <c r="N79" s="1018"/>
      <c r="O79" s="1073">
        <f t="shared" si="15"/>
        <v>0</v>
      </c>
      <c r="P79" s="1018"/>
      <c r="Q79" s="1073">
        <f t="shared" si="16"/>
        <v>0</v>
      </c>
      <c r="R79" s="1018"/>
      <c r="S79" s="1076" t="str">
        <f t="shared" si="11"/>
        <v>0</v>
      </c>
      <c r="T79" s="1073">
        <f t="shared" si="17"/>
        <v>0</v>
      </c>
      <c r="U79" s="1073">
        <f t="shared" si="18"/>
        <v>0</v>
      </c>
      <c r="V79" s="1073">
        <f t="shared" si="19"/>
        <v>0</v>
      </c>
      <c r="W79" s="1020"/>
      <c r="X79" s="1020"/>
      <c r="Y79" s="1017"/>
      <c r="Z79" s="1073">
        <f t="shared" si="20"/>
        <v>0</v>
      </c>
      <c r="AA79" s="1017"/>
      <c r="AB79" s="1018"/>
      <c r="AC79" s="1018"/>
      <c r="AD79" s="1017"/>
    </row>
    <row r="80" spans="1:30" ht="12.75">
      <c r="A80" s="1016"/>
      <c r="B80" s="1017"/>
      <c r="C80" s="1017"/>
      <c r="D80" s="1021">
        <f t="shared" si="12"/>
        <v>0</v>
      </c>
      <c r="E80" s="1021">
        <f t="shared" si="13"/>
        <v>0</v>
      </c>
      <c r="F80" s="1017"/>
      <c r="G80" s="1017"/>
      <c r="H80" s="159"/>
      <c r="I80" s="1017"/>
      <c r="J80" s="1017"/>
      <c r="K80" s="1017"/>
      <c r="L80" s="1017"/>
      <c r="M80" s="1021">
        <f t="shared" si="14"/>
        <v>0</v>
      </c>
      <c r="N80" s="1018"/>
      <c r="O80" s="1073">
        <f t="shared" si="15"/>
        <v>0</v>
      </c>
      <c r="P80" s="1018"/>
      <c r="Q80" s="1073">
        <f t="shared" si="16"/>
        <v>0</v>
      </c>
      <c r="R80" s="1018"/>
      <c r="S80" s="1076" t="str">
        <f t="shared" si="11"/>
        <v>0</v>
      </c>
      <c r="T80" s="1073">
        <f t="shared" si="17"/>
        <v>0</v>
      </c>
      <c r="U80" s="1073">
        <f t="shared" si="18"/>
        <v>0</v>
      </c>
      <c r="V80" s="1073">
        <f t="shared" si="19"/>
        <v>0</v>
      </c>
      <c r="W80" s="1020"/>
      <c r="X80" s="1020"/>
      <c r="Y80" s="1017"/>
      <c r="Z80" s="1073">
        <f t="shared" si="20"/>
        <v>0</v>
      </c>
      <c r="AA80" s="1017"/>
      <c r="AB80" s="1018"/>
      <c r="AC80" s="1018"/>
      <c r="AD80" s="1017"/>
    </row>
    <row r="81" spans="1:30" ht="12.75">
      <c r="A81" s="1016"/>
      <c r="B81" s="1017"/>
      <c r="C81" s="1017"/>
      <c r="D81" s="1021">
        <f t="shared" si="12"/>
        <v>0</v>
      </c>
      <c r="E81" s="1021">
        <f t="shared" si="13"/>
        <v>0</v>
      </c>
      <c r="F81" s="1017"/>
      <c r="G81" s="1017"/>
      <c r="H81" s="159"/>
      <c r="I81" s="1017"/>
      <c r="J81" s="1017"/>
      <c r="K81" s="1017"/>
      <c r="L81" s="1017"/>
      <c r="M81" s="1021">
        <f t="shared" si="14"/>
        <v>0</v>
      </c>
      <c r="N81" s="1018"/>
      <c r="O81" s="1073">
        <f t="shared" si="15"/>
        <v>0</v>
      </c>
      <c r="P81" s="1018"/>
      <c r="Q81" s="1073">
        <f t="shared" si="16"/>
        <v>0</v>
      </c>
      <c r="R81" s="1018"/>
      <c r="S81" s="1076" t="str">
        <f t="shared" si="11"/>
        <v>0</v>
      </c>
      <c r="T81" s="1073">
        <f t="shared" si="17"/>
        <v>0</v>
      </c>
      <c r="U81" s="1073">
        <f t="shared" si="18"/>
        <v>0</v>
      </c>
      <c r="V81" s="1073">
        <f t="shared" si="19"/>
        <v>0</v>
      </c>
      <c r="W81" s="1020"/>
      <c r="X81" s="1020"/>
      <c r="Y81" s="1017"/>
      <c r="Z81" s="1073">
        <f t="shared" si="20"/>
        <v>0</v>
      </c>
      <c r="AA81" s="1017"/>
      <c r="AB81" s="1018"/>
      <c r="AC81" s="1018"/>
      <c r="AD81" s="1017"/>
    </row>
    <row r="82" spans="1:30" ht="12.75">
      <c r="A82" s="1016"/>
      <c r="B82" s="1017"/>
      <c r="C82" s="1017"/>
      <c r="D82" s="1021">
        <f t="shared" si="12"/>
        <v>0</v>
      </c>
      <c r="E82" s="1021">
        <f t="shared" si="13"/>
        <v>0</v>
      </c>
      <c r="F82" s="1017"/>
      <c r="G82" s="1017"/>
      <c r="H82" s="159"/>
      <c r="I82" s="1017"/>
      <c r="J82" s="1017"/>
      <c r="K82" s="1017"/>
      <c r="L82" s="1017"/>
      <c r="M82" s="1021">
        <f t="shared" si="14"/>
        <v>0</v>
      </c>
      <c r="N82" s="1018"/>
      <c r="O82" s="1073">
        <f t="shared" si="15"/>
        <v>0</v>
      </c>
      <c r="P82" s="1018"/>
      <c r="Q82" s="1073">
        <f t="shared" si="16"/>
        <v>0</v>
      </c>
      <c r="R82" s="1018"/>
      <c r="S82" s="1076" t="str">
        <f t="shared" si="11"/>
        <v>0</v>
      </c>
      <c r="T82" s="1073">
        <f t="shared" si="17"/>
        <v>0</v>
      </c>
      <c r="U82" s="1073">
        <f t="shared" si="18"/>
        <v>0</v>
      </c>
      <c r="V82" s="1073">
        <f t="shared" si="19"/>
        <v>0</v>
      </c>
      <c r="W82" s="1020"/>
      <c r="X82" s="1020"/>
      <c r="Y82" s="1017"/>
      <c r="Z82" s="1073">
        <f t="shared" si="20"/>
        <v>0</v>
      </c>
      <c r="AA82" s="1017"/>
      <c r="AB82" s="1018"/>
      <c r="AC82" s="1018"/>
      <c r="AD82" s="1017"/>
    </row>
    <row r="83" spans="1:30" ht="12.75">
      <c r="A83" s="1016"/>
      <c r="B83" s="1017"/>
      <c r="C83" s="1017"/>
      <c r="D83" s="1021">
        <f t="shared" si="12"/>
        <v>0</v>
      </c>
      <c r="E83" s="1021">
        <f t="shared" si="13"/>
        <v>0</v>
      </c>
      <c r="F83" s="1017"/>
      <c r="G83" s="1017"/>
      <c r="H83" s="159"/>
      <c r="I83" s="1017"/>
      <c r="J83" s="1017"/>
      <c r="K83" s="1017"/>
      <c r="L83" s="1017"/>
      <c r="M83" s="1021">
        <f t="shared" si="14"/>
        <v>0</v>
      </c>
      <c r="N83" s="1018"/>
      <c r="O83" s="1073">
        <f t="shared" si="15"/>
        <v>0</v>
      </c>
      <c r="P83" s="1018"/>
      <c r="Q83" s="1073">
        <f t="shared" si="16"/>
        <v>0</v>
      </c>
      <c r="R83" s="1018"/>
      <c r="S83" s="1076" t="str">
        <f t="shared" si="11"/>
        <v>0</v>
      </c>
      <c r="T83" s="1073">
        <f t="shared" si="17"/>
        <v>0</v>
      </c>
      <c r="U83" s="1073">
        <f t="shared" si="18"/>
        <v>0</v>
      </c>
      <c r="V83" s="1073">
        <f t="shared" si="19"/>
        <v>0</v>
      </c>
      <c r="W83" s="1020"/>
      <c r="X83" s="1020"/>
      <c r="Y83" s="1017"/>
      <c r="Z83" s="1073">
        <f t="shared" si="20"/>
        <v>0</v>
      </c>
      <c r="AA83" s="1017"/>
      <c r="AB83" s="1018"/>
      <c r="AC83" s="1018"/>
      <c r="AD83" s="1017"/>
    </row>
    <row r="84" spans="1:30" ht="12.75">
      <c r="A84" s="1016"/>
      <c r="B84" s="1017"/>
      <c r="C84" s="1017"/>
      <c r="D84" s="1021">
        <f t="shared" si="12"/>
        <v>0</v>
      </c>
      <c r="E84" s="1021">
        <f t="shared" si="13"/>
        <v>0</v>
      </c>
      <c r="F84" s="1017"/>
      <c r="G84" s="1017"/>
      <c r="H84" s="159"/>
      <c r="I84" s="1017"/>
      <c r="J84" s="1017"/>
      <c r="K84" s="1017"/>
      <c r="L84" s="1017"/>
      <c r="M84" s="1021">
        <f t="shared" si="14"/>
        <v>0</v>
      </c>
      <c r="N84" s="1018"/>
      <c r="O84" s="1073">
        <f t="shared" si="15"/>
        <v>0</v>
      </c>
      <c r="P84" s="1018"/>
      <c r="Q84" s="1073">
        <f t="shared" si="16"/>
        <v>0</v>
      </c>
      <c r="R84" s="1018"/>
      <c r="S84" s="1076" t="str">
        <f t="shared" si="11"/>
        <v>0</v>
      </c>
      <c r="T84" s="1073">
        <f t="shared" si="17"/>
        <v>0</v>
      </c>
      <c r="U84" s="1073">
        <f t="shared" si="18"/>
        <v>0</v>
      </c>
      <c r="V84" s="1073">
        <f t="shared" si="19"/>
        <v>0</v>
      </c>
      <c r="W84" s="1020"/>
      <c r="X84" s="1020"/>
      <c r="Y84" s="1017"/>
      <c r="Z84" s="1073">
        <f t="shared" si="20"/>
        <v>0</v>
      </c>
      <c r="AA84" s="1017"/>
      <c r="AB84" s="1018"/>
      <c r="AC84" s="1018"/>
      <c r="AD84" s="1017"/>
    </row>
    <row r="85" spans="1:30" ht="12.75">
      <c r="A85" s="1016"/>
      <c r="B85" s="1017"/>
      <c r="C85" s="1017"/>
      <c r="D85" s="1021">
        <f t="shared" si="12"/>
        <v>0</v>
      </c>
      <c r="E85" s="1021">
        <f t="shared" si="13"/>
        <v>0</v>
      </c>
      <c r="F85" s="1017"/>
      <c r="G85" s="1017"/>
      <c r="H85" s="159"/>
      <c r="I85" s="1017"/>
      <c r="J85" s="1017"/>
      <c r="K85" s="1017"/>
      <c r="L85" s="1017"/>
      <c r="M85" s="1021">
        <f t="shared" si="14"/>
        <v>0</v>
      </c>
      <c r="N85" s="1018"/>
      <c r="O85" s="1073">
        <f t="shared" si="15"/>
        <v>0</v>
      </c>
      <c r="P85" s="1018"/>
      <c r="Q85" s="1073">
        <f t="shared" si="16"/>
        <v>0</v>
      </c>
      <c r="R85" s="1018"/>
      <c r="S85" s="1076" t="str">
        <f t="shared" si="11"/>
        <v>0</v>
      </c>
      <c r="T85" s="1073">
        <f t="shared" si="17"/>
        <v>0</v>
      </c>
      <c r="U85" s="1073">
        <f t="shared" si="18"/>
        <v>0</v>
      </c>
      <c r="V85" s="1073">
        <f t="shared" si="19"/>
        <v>0</v>
      </c>
      <c r="W85" s="1020"/>
      <c r="X85" s="1020"/>
      <c r="Y85" s="1017"/>
      <c r="Z85" s="1073">
        <f t="shared" si="20"/>
        <v>0</v>
      </c>
      <c r="AA85" s="1017"/>
      <c r="AB85" s="1018"/>
      <c r="AC85" s="1018"/>
      <c r="AD85" s="1017"/>
    </row>
    <row r="86" spans="1:30" ht="12.75">
      <c r="A86" s="1016"/>
      <c r="B86" s="1017"/>
      <c r="C86" s="1017"/>
      <c r="D86" s="1021">
        <f t="shared" si="12"/>
        <v>0</v>
      </c>
      <c r="E86" s="1021">
        <f t="shared" si="13"/>
        <v>0</v>
      </c>
      <c r="F86" s="1017"/>
      <c r="G86" s="1017"/>
      <c r="H86" s="159"/>
      <c r="I86" s="1017"/>
      <c r="J86" s="1017"/>
      <c r="K86" s="1017"/>
      <c r="L86" s="1017"/>
      <c r="M86" s="1021">
        <f t="shared" si="14"/>
        <v>0</v>
      </c>
      <c r="N86" s="1018"/>
      <c r="O86" s="1073">
        <f t="shared" si="15"/>
        <v>0</v>
      </c>
      <c r="P86" s="1018"/>
      <c r="Q86" s="1073">
        <f t="shared" si="16"/>
        <v>0</v>
      </c>
      <c r="R86" s="1018"/>
      <c r="S86" s="1076" t="str">
        <f t="shared" si="11"/>
        <v>0</v>
      </c>
      <c r="T86" s="1073">
        <f t="shared" si="17"/>
        <v>0</v>
      </c>
      <c r="U86" s="1073">
        <f t="shared" si="18"/>
        <v>0</v>
      </c>
      <c r="V86" s="1073">
        <f t="shared" si="19"/>
        <v>0</v>
      </c>
      <c r="W86" s="1020"/>
      <c r="X86" s="1020"/>
      <c r="Y86" s="1017"/>
      <c r="Z86" s="1073">
        <f t="shared" si="20"/>
        <v>0</v>
      </c>
      <c r="AA86" s="1017"/>
      <c r="AB86" s="1018"/>
      <c r="AC86" s="1018"/>
      <c r="AD86" s="1017"/>
    </row>
    <row r="87" spans="1:30" ht="12.75">
      <c r="A87" s="1016"/>
      <c r="B87" s="1017"/>
      <c r="C87" s="1017"/>
      <c r="D87" s="1021">
        <f t="shared" si="12"/>
        <v>0</v>
      </c>
      <c r="E87" s="1021">
        <f t="shared" si="13"/>
        <v>0</v>
      </c>
      <c r="F87" s="1017"/>
      <c r="G87" s="1017"/>
      <c r="H87" s="159"/>
      <c r="I87" s="1017"/>
      <c r="J87" s="1017"/>
      <c r="K87" s="1017"/>
      <c r="L87" s="1017"/>
      <c r="M87" s="1021">
        <f t="shared" si="14"/>
        <v>0</v>
      </c>
      <c r="N87" s="1018"/>
      <c r="O87" s="1073">
        <f t="shared" si="15"/>
        <v>0</v>
      </c>
      <c r="P87" s="1018"/>
      <c r="Q87" s="1073">
        <f t="shared" si="16"/>
        <v>0</v>
      </c>
      <c r="R87" s="1018"/>
      <c r="S87" s="1076" t="str">
        <f t="shared" si="11"/>
        <v>0</v>
      </c>
      <c r="T87" s="1073">
        <f t="shared" si="17"/>
        <v>0</v>
      </c>
      <c r="U87" s="1073">
        <f t="shared" si="18"/>
        <v>0</v>
      </c>
      <c r="V87" s="1073">
        <f t="shared" si="19"/>
        <v>0</v>
      </c>
      <c r="W87" s="1020"/>
      <c r="X87" s="1020"/>
      <c r="Y87" s="1017"/>
      <c r="Z87" s="1073">
        <f t="shared" si="20"/>
        <v>0</v>
      </c>
      <c r="AA87" s="1017"/>
      <c r="AB87" s="1018"/>
      <c r="AC87" s="1018"/>
      <c r="AD87" s="1017"/>
    </row>
    <row r="88" spans="1:30" ht="12.75">
      <c r="A88" s="1016"/>
      <c r="B88" s="1017"/>
      <c r="C88" s="1017"/>
      <c r="D88" s="1021">
        <f t="shared" si="12"/>
        <v>0</v>
      </c>
      <c r="E88" s="1021">
        <f t="shared" si="13"/>
        <v>0</v>
      </c>
      <c r="F88" s="1017"/>
      <c r="G88" s="1017"/>
      <c r="H88" s="159"/>
      <c r="I88" s="1017"/>
      <c r="J88" s="1017"/>
      <c r="K88" s="1017"/>
      <c r="L88" s="1017"/>
      <c r="M88" s="1021">
        <f t="shared" si="14"/>
        <v>0</v>
      </c>
      <c r="N88" s="1018"/>
      <c r="O88" s="1073">
        <f t="shared" si="15"/>
        <v>0</v>
      </c>
      <c r="P88" s="1018"/>
      <c r="Q88" s="1073">
        <f t="shared" si="16"/>
        <v>0</v>
      </c>
      <c r="R88" s="1018"/>
      <c r="S88" s="1076" t="str">
        <f t="shared" si="11"/>
        <v>0</v>
      </c>
      <c r="T88" s="1073">
        <f t="shared" si="17"/>
        <v>0</v>
      </c>
      <c r="U88" s="1073">
        <f t="shared" si="18"/>
        <v>0</v>
      </c>
      <c r="V88" s="1073">
        <f t="shared" si="19"/>
        <v>0</v>
      </c>
      <c r="W88" s="1019"/>
      <c r="X88" s="1020"/>
      <c r="Y88" s="1017"/>
      <c r="Z88" s="1073">
        <f t="shared" si="20"/>
        <v>0</v>
      </c>
      <c r="AA88" s="1016"/>
      <c r="AB88" s="1018"/>
      <c r="AC88" s="1018"/>
      <c r="AD88" s="1017"/>
    </row>
    <row r="89" spans="1:30" ht="12.75">
      <c r="A89" s="1016"/>
      <c r="B89" s="1017"/>
      <c r="C89" s="1017"/>
      <c r="D89" s="1021">
        <f t="shared" si="12"/>
        <v>0</v>
      </c>
      <c r="E89" s="1021">
        <f t="shared" si="13"/>
        <v>0</v>
      </c>
      <c r="F89" s="1017"/>
      <c r="G89" s="1017"/>
      <c r="H89" s="159"/>
      <c r="I89" s="1017"/>
      <c r="J89" s="1017"/>
      <c r="K89" s="1017"/>
      <c r="L89" s="1017"/>
      <c r="M89" s="1021">
        <f t="shared" si="14"/>
        <v>0</v>
      </c>
      <c r="N89" s="1018"/>
      <c r="O89" s="1073">
        <f t="shared" si="15"/>
        <v>0</v>
      </c>
      <c r="P89" s="1018"/>
      <c r="Q89" s="1073">
        <f t="shared" si="16"/>
        <v>0</v>
      </c>
      <c r="R89" s="1018"/>
      <c r="S89" s="1076" t="str">
        <f t="shared" si="11"/>
        <v>0</v>
      </c>
      <c r="T89" s="1073">
        <f t="shared" si="17"/>
        <v>0</v>
      </c>
      <c r="U89" s="1073">
        <f t="shared" si="18"/>
        <v>0</v>
      </c>
      <c r="V89" s="1073">
        <f t="shared" si="19"/>
        <v>0</v>
      </c>
      <c r="W89" s="1019"/>
      <c r="X89" s="1020"/>
      <c r="Y89" s="1017"/>
      <c r="Z89" s="1073">
        <f t="shared" si="20"/>
        <v>0</v>
      </c>
      <c r="AA89" s="1016"/>
      <c r="AB89" s="1018"/>
      <c r="AC89" s="1018"/>
      <c r="AD89" s="1017"/>
    </row>
    <row r="90" spans="1:30" ht="12.75">
      <c r="A90" s="1016"/>
      <c r="B90" s="1017"/>
      <c r="C90" s="1017"/>
      <c r="D90" s="1021">
        <f t="shared" si="12"/>
        <v>0</v>
      </c>
      <c r="E90" s="1021">
        <f t="shared" si="13"/>
        <v>0</v>
      </c>
      <c r="F90" s="1017"/>
      <c r="G90" s="1017"/>
      <c r="H90" s="159"/>
      <c r="I90" s="1017"/>
      <c r="J90" s="1017"/>
      <c r="K90" s="1017"/>
      <c r="L90" s="1017"/>
      <c r="M90" s="1021">
        <f t="shared" si="14"/>
        <v>0</v>
      </c>
      <c r="N90" s="1018"/>
      <c r="O90" s="1073">
        <f t="shared" si="15"/>
        <v>0</v>
      </c>
      <c r="P90" s="1018"/>
      <c r="Q90" s="1073">
        <f t="shared" si="16"/>
        <v>0</v>
      </c>
      <c r="R90" s="1018"/>
      <c r="S90" s="1076" t="str">
        <f t="shared" si="11"/>
        <v>0</v>
      </c>
      <c r="T90" s="1073">
        <f t="shared" si="17"/>
        <v>0</v>
      </c>
      <c r="U90" s="1073">
        <f t="shared" si="18"/>
        <v>0</v>
      </c>
      <c r="V90" s="1073">
        <f t="shared" si="19"/>
        <v>0</v>
      </c>
      <c r="W90" s="1019"/>
      <c r="X90" s="1020"/>
      <c r="Y90" s="1017"/>
      <c r="Z90" s="1073">
        <f t="shared" si="20"/>
        <v>0</v>
      </c>
      <c r="AA90" s="1016"/>
      <c r="AB90" s="1018"/>
      <c r="AC90" s="1018"/>
      <c r="AD90" s="1017"/>
    </row>
    <row r="91" spans="1:30" ht="12.75">
      <c r="A91" s="1016"/>
      <c r="B91" s="1017"/>
      <c r="C91" s="1017"/>
      <c r="D91" s="1021">
        <f t="shared" si="12"/>
        <v>0</v>
      </c>
      <c r="E91" s="1021">
        <f t="shared" si="13"/>
        <v>0</v>
      </c>
      <c r="F91" s="1017"/>
      <c r="G91" s="1017"/>
      <c r="H91" s="159"/>
      <c r="I91" s="1017"/>
      <c r="J91" s="1017"/>
      <c r="K91" s="1017"/>
      <c r="L91" s="1017"/>
      <c r="M91" s="1021">
        <f t="shared" si="14"/>
        <v>0</v>
      </c>
      <c r="N91" s="1018"/>
      <c r="O91" s="1073">
        <f t="shared" si="15"/>
        <v>0</v>
      </c>
      <c r="P91" s="1018"/>
      <c r="Q91" s="1073">
        <f t="shared" si="16"/>
        <v>0</v>
      </c>
      <c r="R91" s="1018"/>
      <c r="S91" s="1076" t="str">
        <f t="shared" si="11"/>
        <v>0</v>
      </c>
      <c r="T91" s="1073">
        <f t="shared" si="17"/>
        <v>0</v>
      </c>
      <c r="U91" s="1073">
        <f t="shared" si="18"/>
        <v>0</v>
      </c>
      <c r="V91" s="1073">
        <f t="shared" si="19"/>
        <v>0</v>
      </c>
      <c r="W91" s="1019"/>
      <c r="X91" s="1020"/>
      <c r="Y91" s="1017"/>
      <c r="Z91" s="1073">
        <f t="shared" si="20"/>
        <v>0</v>
      </c>
      <c r="AA91" s="1016"/>
      <c r="AB91" s="1018"/>
      <c r="AC91" s="1018"/>
      <c r="AD91" s="1017"/>
    </row>
    <row r="92" spans="1:30" ht="12.75">
      <c r="A92" s="1016"/>
      <c r="B92" s="1017"/>
      <c r="C92" s="1017"/>
      <c r="D92" s="1021">
        <f t="shared" si="12"/>
        <v>0</v>
      </c>
      <c r="E92" s="1021">
        <f t="shared" si="13"/>
        <v>0</v>
      </c>
      <c r="F92" s="1017"/>
      <c r="G92" s="1017"/>
      <c r="H92" s="159"/>
      <c r="I92" s="1017"/>
      <c r="J92" s="1017"/>
      <c r="K92" s="1017"/>
      <c r="L92" s="1017"/>
      <c r="M92" s="1021">
        <f t="shared" si="14"/>
        <v>0</v>
      </c>
      <c r="N92" s="1018"/>
      <c r="O92" s="1073">
        <f t="shared" si="15"/>
        <v>0</v>
      </c>
      <c r="P92" s="1018"/>
      <c r="Q92" s="1073">
        <f t="shared" si="16"/>
        <v>0</v>
      </c>
      <c r="R92" s="1018"/>
      <c r="S92" s="1076" t="str">
        <f t="shared" si="11"/>
        <v>0</v>
      </c>
      <c r="T92" s="1073">
        <f t="shared" si="17"/>
        <v>0</v>
      </c>
      <c r="U92" s="1073">
        <f t="shared" si="18"/>
        <v>0</v>
      </c>
      <c r="V92" s="1073">
        <f t="shared" si="19"/>
        <v>0</v>
      </c>
      <c r="W92" s="1019"/>
      <c r="X92" s="1020"/>
      <c r="Y92" s="1017"/>
      <c r="Z92" s="1073">
        <f t="shared" si="20"/>
        <v>0</v>
      </c>
      <c r="AA92" s="1016"/>
      <c r="AB92" s="1018"/>
      <c r="AC92" s="1018"/>
      <c r="AD92" s="1017"/>
    </row>
    <row r="93" spans="1:30" ht="12.75">
      <c r="A93" s="1016"/>
      <c r="B93" s="1017"/>
      <c r="C93" s="1017"/>
      <c r="D93" s="1021">
        <f t="shared" si="12"/>
        <v>0</v>
      </c>
      <c r="E93" s="1021">
        <f t="shared" si="13"/>
        <v>0</v>
      </c>
      <c r="F93" s="1017"/>
      <c r="G93" s="1017"/>
      <c r="H93" s="159"/>
      <c r="I93" s="1017"/>
      <c r="J93" s="1017"/>
      <c r="K93" s="1017"/>
      <c r="L93" s="1017"/>
      <c r="M93" s="1021">
        <f t="shared" si="14"/>
        <v>0</v>
      </c>
      <c r="N93" s="1018"/>
      <c r="O93" s="1073">
        <f t="shared" si="15"/>
        <v>0</v>
      </c>
      <c r="P93" s="1018"/>
      <c r="Q93" s="1073">
        <f t="shared" si="16"/>
        <v>0</v>
      </c>
      <c r="R93" s="1018"/>
      <c r="S93" s="1076" t="str">
        <f t="shared" si="11"/>
        <v>0</v>
      </c>
      <c r="T93" s="1073">
        <f t="shared" si="17"/>
        <v>0</v>
      </c>
      <c r="U93" s="1073">
        <f t="shared" si="18"/>
        <v>0</v>
      </c>
      <c r="V93" s="1073">
        <f t="shared" si="19"/>
        <v>0</v>
      </c>
      <c r="W93" s="1019"/>
      <c r="X93" s="1020"/>
      <c r="Y93" s="1017"/>
      <c r="Z93" s="1073">
        <f t="shared" si="20"/>
        <v>0</v>
      </c>
      <c r="AA93" s="1016"/>
      <c r="AB93" s="1018"/>
      <c r="AC93" s="1018"/>
      <c r="AD93" s="1017"/>
    </row>
    <row r="94" spans="1:30" ht="12.75">
      <c r="A94" s="1016"/>
      <c r="B94" s="1017"/>
      <c r="C94" s="1017"/>
      <c r="D94" s="1021">
        <f t="shared" si="12"/>
        <v>0</v>
      </c>
      <c r="E94" s="1021">
        <f t="shared" si="13"/>
        <v>0</v>
      </c>
      <c r="F94" s="1017"/>
      <c r="G94" s="1017"/>
      <c r="H94" s="159"/>
      <c r="I94" s="1017"/>
      <c r="J94" s="1017"/>
      <c r="K94" s="1017"/>
      <c r="L94" s="1017"/>
      <c r="M94" s="1021">
        <f t="shared" si="14"/>
        <v>0</v>
      </c>
      <c r="N94" s="1018"/>
      <c r="O94" s="1073">
        <f t="shared" si="15"/>
        <v>0</v>
      </c>
      <c r="P94" s="1018"/>
      <c r="Q94" s="1073">
        <f t="shared" si="16"/>
        <v>0</v>
      </c>
      <c r="R94" s="1018"/>
      <c r="S94" s="1076" t="str">
        <f t="shared" si="11"/>
        <v>0</v>
      </c>
      <c r="T94" s="1073">
        <f t="shared" si="17"/>
        <v>0</v>
      </c>
      <c r="U94" s="1073">
        <f t="shared" si="18"/>
        <v>0</v>
      </c>
      <c r="V94" s="1073">
        <f t="shared" si="19"/>
        <v>0</v>
      </c>
      <c r="W94" s="1019"/>
      <c r="X94" s="1020"/>
      <c r="Y94" s="1017"/>
      <c r="Z94" s="1073">
        <f t="shared" si="20"/>
        <v>0</v>
      </c>
      <c r="AA94" s="1016"/>
      <c r="AB94" s="1018"/>
      <c r="AC94" s="1018"/>
      <c r="AD94" s="1017"/>
    </row>
    <row r="95" spans="1:30" ht="12.75">
      <c r="A95" s="1016"/>
      <c r="B95" s="1017"/>
      <c r="C95" s="1017"/>
      <c r="D95" s="1021">
        <f t="shared" si="12"/>
        <v>0</v>
      </c>
      <c r="E95" s="1021">
        <f t="shared" si="13"/>
        <v>0</v>
      </c>
      <c r="F95" s="1017"/>
      <c r="G95" s="1017"/>
      <c r="H95" s="159"/>
      <c r="I95" s="1017"/>
      <c r="J95" s="1017"/>
      <c r="K95" s="1017"/>
      <c r="L95" s="1017"/>
      <c r="M95" s="1021">
        <f t="shared" si="14"/>
        <v>0</v>
      </c>
      <c r="N95" s="1018"/>
      <c r="O95" s="1073">
        <f t="shared" si="15"/>
        <v>0</v>
      </c>
      <c r="P95" s="1018"/>
      <c r="Q95" s="1073">
        <f t="shared" si="16"/>
        <v>0</v>
      </c>
      <c r="R95" s="1018"/>
      <c r="S95" s="1076" t="str">
        <f t="shared" si="11"/>
        <v>0</v>
      </c>
      <c r="T95" s="1073">
        <f t="shared" si="17"/>
        <v>0</v>
      </c>
      <c r="U95" s="1073">
        <f t="shared" si="18"/>
        <v>0</v>
      </c>
      <c r="V95" s="1073">
        <f t="shared" si="19"/>
        <v>0</v>
      </c>
      <c r="W95" s="1019"/>
      <c r="X95" s="1020"/>
      <c r="Y95" s="1017"/>
      <c r="Z95" s="1073">
        <f t="shared" si="20"/>
        <v>0</v>
      </c>
      <c r="AA95" s="1016"/>
      <c r="AB95" s="1018"/>
      <c r="AC95" s="1018"/>
      <c r="AD95" s="1017"/>
    </row>
    <row r="96" spans="1:30" ht="12.75">
      <c r="A96" s="1016"/>
      <c r="B96" s="1017"/>
      <c r="C96" s="1017"/>
      <c r="D96" s="1021">
        <f t="shared" si="12"/>
        <v>0</v>
      </c>
      <c r="E96" s="1021">
        <f t="shared" si="13"/>
        <v>0</v>
      </c>
      <c r="F96" s="1017"/>
      <c r="G96" s="1017"/>
      <c r="H96" s="159"/>
      <c r="I96" s="1017"/>
      <c r="J96" s="1017"/>
      <c r="K96" s="1017"/>
      <c r="L96" s="1017"/>
      <c r="M96" s="1021">
        <f t="shared" si="14"/>
        <v>0</v>
      </c>
      <c r="N96" s="1018"/>
      <c r="O96" s="1073">
        <f t="shared" si="15"/>
        <v>0</v>
      </c>
      <c r="P96" s="1018"/>
      <c r="Q96" s="1073">
        <f t="shared" si="16"/>
        <v>0</v>
      </c>
      <c r="R96" s="1018"/>
      <c r="S96" s="1076" t="str">
        <f t="shared" si="11"/>
        <v>0</v>
      </c>
      <c r="T96" s="1073">
        <f t="shared" si="17"/>
        <v>0</v>
      </c>
      <c r="U96" s="1073">
        <f t="shared" si="18"/>
        <v>0</v>
      </c>
      <c r="V96" s="1073">
        <f t="shared" si="19"/>
        <v>0</v>
      </c>
      <c r="W96" s="1019"/>
      <c r="X96" s="1020"/>
      <c r="Y96" s="1017"/>
      <c r="Z96" s="1073">
        <f t="shared" si="20"/>
        <v>0</v>
      </c>
      <c r="AA96" s="1016"/>
      <c r="AB96" s="1018"/>
      <c r="AC96" s="1018"/>
      <c r="AD96" s="1017"/>
    </row>
    <row r="97" spans="1:30" ht="12.75">
      <c r="A97" s="1016"/>
      <c r="B97" s="1017"/>
      <c r="C97" s="1017"/>
      <c r="D97" s="1021">
        <f t="shared" si="12"/>
        <v>0</v>
      </c>
      <c r="E97" s="1021">
        <f t="shared" si="13"/>
        <v>0</v>
      </c>
      <c r="F97" s="1017"/>
      <c r="G97" s="1017"/>
      <c r="H97" s="159"/>
      <c r="I97" s="1017"/>
      <c r="J97" s="1017"/>
      <c r="K97" s="1017"/>
      <c r="L97" s="1017"/>
      <c r="M97" s="1021">
        <f t="shared" si="14"/>
        <v>0</v>
      </c>
      <c r="N97" s="1018"/>
      <c r="O97" s="1073">
        <f t="shared" si="15"/>
        <v>0</v>
      </c>
      <c r="P97" s="1018"/>
      <c r="Q97" s="1073">
        <f t="shared" si="16"/>
        <v>0</v>
      </c>
      <c r="R97" s="1018"/>
      <c r="S97" s="1076" t="str">
        <f t="shared" si="11"/>
        <v>0</v>
      </c>
      <c r="T97" s="1073">
        <f t="shared" si="17"/>
        <v>0</v>
      </c>
      <c r="U97" s="1073">
        <f t="shared" si="18"/>
        <v>0</v>
      </c>
      <c r="V97" s="1073">
        <f t="shared" si="19"/>
        <v>0</v>
      </c>
      <c r="W97" s="1019"/>
      <c r="X97" s="1020"/>
      <c r="Y97" s="1017"/>
      <c r="Z97" s="1073">
        <f t="shared" si="20"/>
        <v>0</v>
      </c>
      <c r="AA97" s="1016"/>
      <c r="AB97" s="1018"/>
      <c r="AC97" s="1018"/>
      <c r="AD97" s="1017"/>
    </row>
    <row r="98" spans="1:30" ht="12.75">
      <c r="A98" s="1016"/>
      <c r="B98" s="1017"/>
      <c r="C98" s="1017"/>
      <c r="D98" s="1021">
        <f t="shared" si="12"/>
        <v>0</v>
      </c>
      <c r="E98" s="1021">
        <f t="shared" si="13"/>
        <v>0</v>
      </c>
      <c r="F98" s="1017"/>
      <c r="G98" s="1017"/>
      <c r="H98" s="159"/>
      <c r="I98" s="1017"/>
      <c r="J98" s="1017"/>
      <c r="K98" s="1017"/>
      <c r="L98" s="1017"/>
      <c r="M98" s="1021">
        <f t="shared" si="14"/>
        <v>0</v>
      </c>
      <c r="N98" s="1018"/>
      <c r="O98" s="1073">
        <f t="shared" si="15"/>
        <v>0</v>
      </c>
      <c r="P98" s="1018"/>
      <c r="Q98" s="1073">
        <f t="shared" si="16"/>
        <v>0</v>
      </c>
      <c r="R98" s="1018"/>
      <c r="S98" s="1076" t="str">
        <f t="shared" si="11"/>
        <v>0</v>
      </c>
      <c r="T98" s="1073">
        <f t="shared" si="17"/>
        <v>0</v>
      </c>
      <c r="U98" s="1073">
        <f t="shared" si="18"/>
        <v>0</v>
      </c>
      <c r="V98" s="1073">
        <f t="shared" si="19"/>
        <v>0</v>
      </c>
      <c r="W98" s="1019"/>
      <c r="X98" s="1020"/>
      <c r="Y98" s="1017"/>
      <c r="Z98" s="1073">
        <f t="shared" si="20"/>
        <v>0</v>
      </c>
      <c r="AA98" s="1016"/>
      <c r="AB98" s="1018"/>
      <c r="AC98" s="1018"/>
      <c r="AD98" s="1017"/>
    </row>
    <row r="99" spans="1:30" ht="12.75">
      <c r="A99" s="1016"/>
      <c r="B99" s="1017"/>
      <c r="C99" s="1017"/>
      <c r="D99" s="1021">
        <f t="shared" si="12"/>
        <v>0</v>
      </c>
      <c r="E99" s="1021">
        <f t="shared" si="13"/>
        <v>0</v>
      </c>
      <c r="F99" s="1017"/>
      <c r="G99" s="1017"/>
      <c r="H99" s="159"/>
      <c r="I99" s="1017"/>
      <c r="J99" s="1017"/>
      <c r="K99" s="1017"/>
      <c r="L99" s="1017"/>
      <c r="M99" s="1021">
        <f t="shared" si="14"/>
        <v>0</v>
      </c>
      <c r="N99" s="1018"/>
      <c r="O99" s="1073">
        <f t="shared" si="15"/>
        <v>0</v>
      </c>
      <c r="P99" s="1018"/>
      <c r="Q99" s="1073">
        <f t="shared" si="16"/>
        <v>0</v>
      </c>
      <c r="R99" s="1018"/>
      <c r="S99" s="1076" t="str">
        <f t="shared" si="11"/>
        <v>0</v>
      </c>
      <c r="T99" s="1073">
        <f t="shared" si="17"/>
        <v>0</v>
      </c>
      <c r="U99" s="1073">
        <f t="shared" si="18"/>
        <v>0</v>
      </c>
      <c r="V99" s="1073">
        <f t="shared" si="19"/>
        <v>0</v>
      </c>
      <c r="W99" s="1019"/>
      <c r="X99" s="1020"/>
      <c r="Y99" s="1017"/>
      <c r="Z99" s="1073">
        <f t="shared" si="20"/>
        <v>0</v>
      </c>
      <c r="AA99" s="1016"/>
      <c r="AB99" s="1018"/>
      <c r="AC99" s="1018"/>
      <c r="AD99" s="1017"/>
    </row>
    <row r="100" spans="1:30" ht="12.75">
      <c r="A100" s="1016"/>
      <c r="B100" s="1017"/>
      <c r="C100" s="1017"/>
      <c r="D100" s="1021">
        <f t="shared" si="12"/>
        <v>0</v>
      </c>
      <c r="E100" s="1021">
        <f t="shared" si="13"/>
        <v>0</v>
      </c>
      <c r="F100" s="1017"/>
      <c r="G100" s="1017"/>
      <c r="H100" s="159"/>
      <c r="I100" s="1017"/>
      <c r="J100" s="1017"/>
      <c r="K100" s="1017"/>
      <c r="L100" s="1017"/>
      <c r="M100" s="1021">
        <f t="shared" si="14"/>
        <v>0</v>
      </c>
      <c r="N100" s="1018"/>
      <c r="O100" s="1073">
        <f t="shared" si="15"/>
        <v>0</v>
      </c>
      <c r="P100" s="1018"/>
      <c r="Q100" s="1073">
        <f t="shared" si="16"/>
        <v>0</v>
      </c>
      <c r="R100" s="1018"/>
      <c r="S100" s="1076" t="str">
        <f t="shared" si="11"/>
        <v>0</v>
      </c>
      <c r="T100" s="1073">
        <f t="shared" si="17"/>
        <v>0</v>
      </c>
      <c r="U100" s="1073">
        <f t="shared" si="18"/>
        <v>0</v>
      </c>
      <c r="V100" s="1073">
        <f t="shared" si="19"/>
        <v>0</v>
      </c>
      <c r="W100" s="1019"/>
      <c r="X100" s="1020"/>
      <c r="Y100" s="1017"/>
      <c r="Z100" s="1073">
        <f t="shared" si="20"/>
        <v>0</v>
      </c>
      <c r="AA100" s="1016"/>
      <c r="AB100" s="1018"/>
      <c r="AC100" s="1018"/>
      <c r="AD100" s="1017"/>
    </row>
    <row r="101" spans="1:30" ht="12.75">
      <c r="A101" s="1016"/>
      <c r="B101" s="1017"/>
      <c r="C101" s="1017"/>
      <c r="D101" s="1021">
        <f t="shared" si="12"/>
        <v>0</v>
      </c>
      <c r="E101" s="1021">
        <f t="shared" si="13"/>
        <v>0</v>
      </c>
      <c r="F101" s="1017"/>
      <c r="G101" s="1017"/>
      <c r="H101" s="159"/>
      <c r="I101" s="1017"/>
      <c r="J101" s="1017"/>
      <c r="K101" s="1017"/>
      <c r="L101" s="1017"/>
      <c r="M101" s="1021">
        <f t="shared" si="14"/>
        <v>0</v>
      </c>
      <c r="N101" s="1018"/>
      <c r="O101" s="1073">
        <f t="shared" si="15"/>
        <v>0</v>
      </c>
      <c r="P101" s="1018"/>
      <c r="Q101" s="1073">
        <f t="shared" si="16"/>
        <v>0</v>
      </c>
      <c r="R101" s="1018"/>
      <c r="S101" s="1076" t="str">
        <f t="shared" si="11"/>
        <v>0</v>
      </c>
      <c r="T101" s="1073">
        <f t="shared" si="17"/>
        <v>0</v>
      </c>
      <c r="U101" s="1073">
        <f t="shared" si="18"/>
        <v>0</v>
      </c>
      <c r="V101" s="1073">
        <f t="shared" si="19"/>
        <v>0</v>
      </c>
      <c r="W101" s="1020"/>
      <c r="X101" s="1020"/>
      <c r="Y101" s="1017"/>
      <c r="Z101" s="1073">
        <f t="shared" si="20"/>
        <v>0</v>
      </c>
      <c r="AA101" s="1017"/>
      <c r="AB101" s="1018"/>
      <c r="AC101" s="1018"/>
      <c r="AD101" s="1017"/>
    </row>
    <row r="102" spans="1:30" ht="12.75">
      <c r="A102" s="1016"/>
      <c r="B102" s="1017"/>
      <c r="C102" s="1017"/>
      <c r="D102" s="1021">
        <f t="shared" si="12"/>
        <v>0</v>
      </c>
      <c r="E102" s="1021">
        <f t="shared" si="13"/>
        <v>0</v>
      </c>
      <c r="F102" s="1017"/>
      <c r="G102" s="1017"/>
      <c r="H102" s="159"/>
      <c r="I102" s="1017"/>
      <c r="J102" s="1017"/>
      <c r="K102" s="1017"/>
      <c r="L102" s="1017"/>
      <c r="M102" s="1021">
        <f t="shared" si="14"/>
        <v>0</v>
      </c>
      <c r="N102" s="1018"/>
      <c r="O102" s="1073">
        <f t="shared" si="15"/>
        <v>0</v>
      </c>
      <c r="P102" s="1018"/>
      <c r="Q102" s="1073">
        <f t="shared" si="16"/>
        <v>0</v>
      </c>
      <c r="R102" s="1018"/>
      <c r="S102" s="1076" t="str">
        <f aca="true" t="shared" si="21" ref="S102:S133">IF(R102&gt;14.5,VLOOKUP(R102,tablita,2),"0")</f>
        <v>0</v>
      </c>
      <c r="T102" s="1073">
        <f t="shared" si="17"/>
        <v>0</v>
      </c>
      <c r="U102" s="1073">
        <f t="shared" si="18"/>
        <v>0</v>
      </c>
      <c r="V102" s="1073">
        <f t="shared" si="19"/>
        <v>0</v>
      </c>
      <c r="W102" s="1020"/>
      <c r="X102" s="1020"/>
      <c r="Y102" s="1017"/>
      <c r="Z102" s="1073">
        <f t="shared" si="20"/>
        <v>0</v>
      </c>
      <c r="AA102" s="1017"/>
      <c r="AB102" s="1018"/>
      <c r="AC102" s="1018"/>
      <c r="AD102" s="1017"/>
    </row>
    <row r="103" spans="1:30" ht="12.75">
      <c r="A103" s="1016"/>
      <c r="B103" s="1017"/>
      <c r="C103" s="1017"/>
      <c r="D103" s="1021">
        <f t="shared" si="12"/>
        <v>0</v>
      </c>
      <c r="E103" s="1021">
        <f t="shared" si="13"/>
        <v>0</v>
      </c>
      <c r="F103" s="1017"/>
      <c r="G103" s="1017"/>
      <c r="H103" s="159"/>
      <c r="I103" s="1017"/>
      <c r="J103" s="1017"/>
      <c r="K103" s="1017"/>
      <c r="L103" s="1017"/>
      <c r="M103" s="1021">
        <f t="shared" si="14"/>
        <v>0</v>
      </c>
      <c r="N103" s="1018"/>
      <c r="O103" s="1073">
        <f t="shared" si="15"/>
        <v>0</v>
      </c>
      <c r="P103" s="1018"/>
      <c r="Q103" s="1073">
        <f t="shared" si="16"/>
        <v>0</v>
      </c>
      <c r="R103" s="1018"/>
      <c r="S103" s="1076" t="str">
        <f t="shared" si="21"/>
        <v>0</v>
      </c>
      <c r="T103" s="1073">
        <f t="shared" si="17"/>
        <v>0</v>
      </c>
      <c r="U103" s="1073">
        <f t="shared" si="18"/>
        <v>0</v>
      </c>
      <c r="V103" s="1073">
        <f t="shared" si="19"/>
        <v>0</v>
      </c>
      <c r="W103" s="1019"/>
      <c r="X103" s="1020"/>
      <c r="Y103" s="1017"/>
      <c r="Z103" s="1073">
        <f t="shared" si="20"/>
        <v>0</v>
      </c>
      <c r="AA103" s="1016"/>
      <c r="AB103" s="1018"/>
      <c r="AC103" s="1018"/>
      <c r="AD103" s="1017"/>
    </row>
    <row r="104" spans="1:30" ht="12.75">
      <c r="A104" s="1016"/>
      <c r="B104" s="1017"/>
      <c r="C104" s="1017"/>
      <c r="D104" s="1021">
        <f t="shared" si="12"/>
        <v>0</v>
      </c>
      <c r="E104" s="1021">
        <f t="shared" si="13"/>
        <v>0</v>
      </c>
      <c r="F104" s="1017"/>
      <c r="G104" s="1017"/>
      <c r="H104" s="159"/>
      <c r="I104" s="1017"/>
      <c r="J104" s="1017"/>
      <c r="K104" s="1017"/>
      <c r="L104" s="1017"/>
      <c r="M104" s="1021">
        <f t="shared" si="14"/>
        <v>0</v>
      </c>
      <c r="N104" s="1018"/>
      <c r="O104" s="1073">
        <f t="shared" si="15"/>
        <v>0</v>
      </c>
      <c r="P104" s="1018"/>
      <c r="Q104" s="1073">
        <f t="shared" si="16"/>
        <v>0</v>
      </c>
      <c r="R104" s="1018"/>
      <c r="S104" s="1076" t="str">
        <f t="shared" si="21"/>
        <v>0</v>
      </c>
      <c r="T104" s="1073">
        <f t="shared" si="17"/>
        <v>0</v>
      </c>
      <c r="U104" s="1073">
        <f t="shared" si="18"/>
        <v>0</v>
      </c>
      <c r="V104" s="1073">
        <f t="shared" si="19"/>
        <v>0</v>
      </c>
      <c r="W104" s="1019"/>
      <c r="X104" s="1020"/>
      <c r="Y104" s="1017"/>
      <c r="Z104" s="1073">
        <f t="shared" si="20"/>
        <v>0</v>
      </c>
      <c r="AA104" s="1016"/>
      <c r="AB104" s="1018"/>
      <c r="AC104" s="1018"/>
      <c r="AD104" s="1017"/>
    </row>
    <row r="105" spans="1:30" ht="12.75">
      <c r="A105" s="1016"/>
      <c r="B105" s="1017"/>
      <c r="C105" s="1017"/>
      <c r="D105" s="1021">
        <f t="shared" si="12"/>
        <v>0</v>
      </c>
      <c r="E105" s="1021">
        <f t="shared" si="13"/>
        <v>0</v>
      </c>
      <c r="F105" s="1017"/>
      <c r="G105" s="1017"/>
      <c r="H105" s="159"/>
      <c r="I105" s="1017"/>
      <c r="J105" s="1017"/>
      <c r="K105" s="1017"/>
      <c r="L105" s="1017"/>
      <c r="M105" s="1021">
        <f t="shared" si="14"/>
        <v>0</v>
      </c>
      <c r="N105" s="1018"/>
      <c r="O105" s="1073">
        <f t="shared" si="15"/>
        <v>0</v>
      </c>
      <c r="P105" s="1018"/>
      <c r="Q105" s="1073">
        <f t="shared" si="16"/>
        <v>0</v>
      </c>
      <c r="R105" s="1018"/>
      <c r="S105" s="1076" t="str">
        <f t="shared" si="21"/>
        <v>0</v>
      </c>
      <c r="T105" s="1073">
        <f t="shared" si="17"/>
        <v>0</v>
      </c>
      <c r="U105" s="1073">
        <f t="shared" si="18"/>
        <v>0</v>
      </c>
      <c r="V105" s="1073">
        <f t="shared" si="19"/>
        <v>0</v>
      </c>
      <c r="W105" s="1020"/>
      <c r="X105" s="1020"/>
      <c r="Y105" s="1017"/>
      <c r="Z105" s="1073">
        <f t="shared" si="20"/>
        <v>0</v>
      </c>
      <c r="AA105" s="1017"/>
      <c r="AB105" s="1018"/>
      <c r="AC105" s="1018"/>
      <c r="AD105" s="1017"/>
    </row>
    <row r="106" spans="1:30" ht="12.75">
      <c r="A106" s="1016"/>
      <c r="B106" s="1017"/>
      <c r="C106" s="1017"/>
      <c r="D106" s="1021">
        <f t="shared" si="12"/>
        <v>0</v>
      </c>
      <c r="E106" s="1021">
        <f t="shared" si="13"/>
        <v>0</v>
      </c>
      <c r="F106" s="1017"/>
      <c r="G106" s="1017"/>
      <c r="H106" s="159"/>
      <c r="I106" s="1017"/>
      <c r="J106" s="1017"/>
      <c r="K106" s="1017"/>
      <c r="L106" s="1017"/>
      <c r="M106" s="1021">
        <f t="shared" si="14"/>
        <v>0</v>
      </c>
      <c r="N106" s="1018"/>
      <c r="O106" s="1073">
        <f t="shared" si="15"/>
        <v>0</v>
      </c>
      <c r="P106" s="1018"/>
      <c r="Q106" s="1073">
        <f t="shared" si="16"/>
        <v>0</v>
      </c>
      <c r="R106" s="1018"/>
      <c r="S106" s="1076" t="str">
        <f t="shared" si="21"/>
        <v>0</v>
      </c>
      <c r="T106" s="1073">
        <f t="shared" si="17"/>
        <v>0</v>
      </c>
      <c r="U106" s="1073">
        <f t="shared" si="18"/>
        <v>0</v>
      </c>
      <c r="V106" s="1073">
        <f t="shared" si="19"/>
        <v>0</v>
      </c>
      <c r="W106" s="1020"/>
      <c r="X106" s="1020"/>
      <c r="Y106" s="1017"/>
      <c r="Z106" s="1073">
        <f t="shared" si="20"/>
        <v>0</v>
      </c>
      <c r="AA106" s="1017"/>
      <c r="AB106" s="1018"/>
      <c r="AC106" s="1018"/>
      <c r="AD106" s="1017"/>
    </row>
    <row r="107" spans="1:30" ht="12.75">
      <c r="A107" s="1016"/>
      <c r="B107" s="1017"/>
      <c r="C107" s="1017"/>
      <c r="D107" s="1021">
        <f t="shared" si="12"/>
        <v>0</v>
      </c>
      <c r="E107" s="1021">
        <f t="shared" si="13"/>
        <v>0</v>
      </c>
      <c r="F107" s="1017"/>
      <c r="G107" s="1017"/>
      <c r="H107" s="159"/>
      <c r="I107" s="1017"/>
      <c r="J107" s="1017"/>
      <c r="K107" s="1017"/>
      <c r="L107" s="1017"/>
      <c r="M107" s="1021">
        <f t="shared" si="14"/>
        <v>0</v>
      </c>
      <c r="N107" s="1018"/>
      <c r="O107" s="1073">
        <f t="shared" si="15"/>
        <v>0</v>
      </c>
      <c r="P107" s="1018"/>
      <c r="Q107" s="1073">
        <f t="shared" si="16"/>
        <v>0</v>
      </c>
      <c r="R107" s="1018"/>
      <c r="S107" s="1076" t="str">
        <f t="shared" si="21"/>
        <v>0</v>
      </c>
      <c r="T107" s="1073">
        <f t="shared" si="17"/>
        <v>0</v>
      </c>
      <c r="U107" s="1073">
        <f t="shared" si="18"/>
        <v>0</v>
      </c>
      <c r="V107" s="1073">
        <f t="shared" si="19"/>
        <v>0</v>
      </c>
      <c r="W107" s="1020"/>
      <c r="X107" s="1020"/>
      <c r="Y107" s="1017"/>
      <c r="Z107" s="1073">
        <f t="shared" si="20"/>
        <v>0</v>
      </c>
      <c r="AA107" s="1017"/>
      <c r="AB107" s="1018"/>
      <c r="AC107" s="1018"/>
      <c r="AD107" s="1017"/>
    </row>
    <row r="108" spans="1:30" ht="12.75">
      <c r="A108" s="1016"/>
      <c r="B108" s="1017"/>
      <c r="C108" s="1017"/>
      <c r="D108" s="1021">
        <f t="shared" si="12"/>
        <v>0</v>
      </c>
      <c r="E108" s="1021">
        <f t="shared" si="13"/>
        <v>0</v>
      </c>
      <c r="F108" s="1017"/>
      <c r="G108" s="1017"/>
      <c r="H108" s="159"/>
      <c r="I108" s="1017"/>
      <c r="J108" s="1017"/>
      <c r="K108" s="1017"/>
      <c r="L108" s="1017"/>
      <c r="M108" s="1021">
        <f t="shared" si="14"/>
        <v>0</v>
      </c>
      <c r="N108" s="1018"/>
      <c r="O108" s="1073">
        <f t="shared" si="15"/>
        <v>0</v>
      </c>
      <c r="P108" s="1018"/>
      <c r="Q108" s="1073">
        <f t="shared" si="16"/>
        <v>0</v>
      </c>
      <c r="R108" s="1018"/>
      <c r="S108" s="1076" t="str">
        <f t="shared" si="21"/>
        <v>0</v>
      </c>
      <c r="T108" s="1073">
        <f t="shared" si="17"/>
        <v>0</v>
      </c>
      <c r="U108" s="1073">
        <f t="shared" si="18"/>
        <v>0</v>
      </c>
      <c r="V108" s="1073">
        <f t="shared" si="19"/>
        <v>0</v>
      </c>
      <c r="W108" s="1020"/>
      <c r="X108" s="1020"/>
      <c r="Y108" s="1017"/>
      <c r="Z108" s="1073">
        <f t="shared" si="20"/>
        <v>0</v>
      </c>
      <c r="AA108" s="1017"/>
      <c r="AB108" s="1018"/>
      <c r="AC108" s="1018"/>
      <c r="AD108" s="1017"/>
    </row>
    <row r="109" spans="1:30" ht="12.75">
      <c r="A109" s="1016"/>
      <c r="B109" s="1017"/>
      <c r="C109" s="1017"/>
      <c r="D109" s="1021">
        <f t="shared" si="12"/>
        <v>0</v>
      </c>
      <c r="E109" s="1021">
        <f t="shared" si="13"/>
        <v>0</v>
      </c>
      <c r="F109" s="1017"/>
      <c r="G109" s="1017"/>
      <c r="H109" s="159"/>
      <c r="I109" s="1017"/>
      <c r="J109" s="1017"/>
      <c r="K109" s="1017"/>
      <c r="L109" s="1017"/>
      <c r="M109" s="1021">
        <f t="shared" si="14"/>
        <v>0</v>
      </c>
      <c r="N109" s="1018"/>
      <c r="O109" s="1073">
        <f t="shared" si="15"/>
        <v>0</v>
      </c>
      <c r="P109" s="1018"/>
      <c r="Q109" s="1073">
        <f t="shared" si="16"/>
        <v>0</v>
      </c>
      <c r="R109" s="1018"/>
      <c r="S109" s="1076" t="str">
        <f t="shared" si="21"/>
        <v>0</v>
      </c>
      <c r="T109" s="1073">
        <f t="shared" si="17"/>
        <v>0</v>
      </c>
      <c r="U109" s="1073">
        <f t="shared" si="18"/>
        <v>0</v>
      </c>
      <c r="V109" s="1073">
        <f t="shared" si="19"/>
        <v>0</v>
      </c>
      <c r="W109" s="1020"/>
      <c r="X109" s="1020"/>
      <c r="Y109" s="1017"/>
      <c r="Z109" s="1073">
        <f t="shared" si="20"/>
        <v>0</v>
      </c>
      <c r="AA109" s="1017"/>
      <c r="AB109" s="1018"/>
      <c r="AC109" s="1018"/>
      <c r="AD109" s="1017"/>
    </row>
    <row r="110" spans="1:30" ht="12.75">
      <c r="A110" s="1016"/>
      <c r="B110" s="1017"/>
      <c r="C110" s="1017"/>
      <c r="D110" s="1021">
        <f t="shared" si="12"/>
        <v>0</v>
      </c>
      <c r="E110" s="1021">
        <f t="shared" si="13"/>
        <v>0</v>
      </c>
      <c r="F110" s="1017"/>
      <c r="G110" s="1017"/>
      <c r="H110" s="159"/>
      <c r="I110" s="1017"/>
      <c r="J110" s="1017"/>
      <c r="K110" s="1017"/>
      <c r="L110" s="1017"/>
      <c r="M110" s="1021">
        <f t="shared" si="14"/>
        <v>0</v>
      </c>
      <c r="N110" s="1018"/>
      <c r="O110" s="1073">
        <f t="shared" si="15"/>
        <v>0</v>
      </c>
      <c r="P110" s="1018"/>
      <c r="Q110" s="1073">
        <f t="shared" si="16"/>
        <v>0</v>
      </c>
      <c r="R110" s="1018"/>
      <c r="S110" s="1076" t="str">
        <f t="shared" si="21"/>
        <v>0</v>
      </c>
      <c r="T110" s="1073">
        <f t="shared" si="17"/>
        <v>0</v>
      </c>
      <c r="U110" s="1073">
        <f t="shared" si="18"/>
        <v>0</v>
      </c>
      <c r="V110" s="1073">
        <f t="shared" si="19"/>
        <v>0</v>
      </c>
      <c r="W110" s="1020"/>
      <c r="X110" s="1020"/>
      <c r="Y110" s="1017"/>
      <c r="Z110" s="1073">
        <f t="shared" si="20"/>
        <v>0</v>
      </c>
      <c r="AA110" s="1017"/>
      <c r="AB110" s="1018"/>
      <c r="AC110" s="1018"/>
      <c r="AD110" s="1017"/>
    </row>
    <row r="111" spans="1:30" ht="12.75">
      <c r="A111" s="1016"/>
      <c r="B111" s="1017"/>
      <c r="C111" s="1017"/>
      <c r="D111" s="1021">
        <f t="shared" si="12"/>
        <v>0</v>
      </c>
      <c r="E111" s="1021">
        <f t="shared" si="13"/>
        <v>0</v>
      </c>
      <c r="F111" s="1017"/>
      <c r="G111" s="1017"/>
      <c r="H111" s="159"/>
      <c r="I111" s="1017"/>
      <c r="J111" s="1017"/>
      <c r="K111" s="1017"/>
      <c r="L111" s="1017"/>
      <c r="M111" s="1021">
        <f t="shared" si="14"/>
        <v>0</v>
      </c>
      <c r="N111" s="1018"/>
      <c r="O111" s="1073">
        <f t="shared" si="15"/>
        <v>0</v>
      </c>
      <c r="P111" s="1018"/>
      <c r="Q111" s="1073">
        <f t="shared" si="16"/>
        <v>0</v>
      </c>
      <c r="R111" s="1018"/>
      <c r="S111" s="1076" t="str">
        <f t="shared" si="21"/>
        <v>0</v>
      </c>
      <c r="T111" s="1073">
        <f t="shared" si="17"/>
        <v>0</v>
      </c>
      <c r="U111" s="1073">
        <f t="shared" si="18"/>
        <v>0</v>
      </c>
      <c r="V111" s="1073">
        <f t="shared" si="19"/>
        <v>0</v>
      </c>
      <c r="W111" s="1020"/>
      <c r="X111" s="1020"/>
      <c r="Y111" s="1017"/>
      <c r="Z111" s="1073">
        <f t="shared" si="20"/>
        <v>0</v>
      </c>
      <c r="AA111" s="1017"/>
      <c r="AB111" s="1018"/>
      <c r="AC111" s="1018"/>
      <c r="AD111" s="1017"/>
    </row>
    <row r="112" spans="1:30" ht="12.75">
      <c r="A112" s="1016"/>
      <c r="B112" s="1017"/>
      <c r="C112" s="1017"/>
      <c r="D112" s="1021">
        <f t="shared" si="12"/>
        <v>0</v>
      </c>
      <c r="E112" s="1021">
        <f t="shared" si="13"/>
        <v>0</v>
      </c>
      <c r="F112" s="1017"/>
      <c r="G112" s="1017"/>
      <c r="H112" s="159"/>
      <c r="I112" s="1017"/>
      <c r="J112" s="1017"/>
      <c r="K112" s="1017"/>
      <c r="L112" s="1017"/>
      <c r="M112" s="1021">
        <f t="shared" si="14"/>
        <v>0</v>
      </c>
      <c r="N112" s="1018"/>
      <c r="O112" s="1073">
        <f t="shared" si="15"/>
        <v>0</v>
      </c>
      <c r="P112" s="1018"/>
      <c r="Q112" s="1073">
        <f t="shared" si="16"/>
        <v>0</v>
      </c>
      <c r="R112" s="1018"/>
      <c r="S112" s="1076" t="str">
        <f t="shared" si="21"/>
        <v>0</v>
      </c>
      <c r="T112" s="1073">
        <f t="shared" si="17"/>
        <v>0</v>
      </c>
      <c r="U112" s="1073">
        <f t="shared" si="18"/>
        <v>0</v>
      </c>
      <c r="V112" s="1073">
        <f t="shared" si="19"/>
        <v>0</v>
      </c>
      <c r="W112" s="1020"/>
      <c r="X112" s="1020"/>
      <c r="Y112" s="1017"/>
      <c r="Z112" s="1073">
        <f t="shared" si="20"/>
        <v>0</v>
      </c>
      <c r="AA112" s="1017"/>
      <c r="AB112" s="1018"/>
      <c r="AC112" s="1018"/>
      <c r="AD112" s="1017"/>
    </row>
    <row r="113" spans="1:30" ht="12.75">
      <c r="A113" s="1016"/>
      <c r="B113" s="1017"/>
      <c r="C113" s="1017"/>
      <c r="D113" s="1021">
        <f t="shared" si="12"/>
        <v>0</v>
      </c>
      <c r="E113" s="1021">
        <f t="shared" si="13"/>
        <v>0</v>
      </c>
      <c r="F113" s="1017"/>
      <c r="G113" s="1017"/>
      <c r="H113" s="159"/>
      <c r="I113" s="1017"/>
      <c r="J113" s="1017"/>
      <c r="K113" s="1017"/>
      <c r="L113" s="1017"/>
      <c r="M113" s="1021">
        <f t="shared" si="14"/>
        <v>0</v>
      </c>
      <c r="N113" s="1018"/>
      <c r="O113" s="1073">
        <f t="shared" si="15"/>
        <v>0</v>
      </c>
      <c r="P113" s="1018"/>
      <c r="Q113" s="1073">
        <f t="shared" si="16"/>
        <v>0</v>
      </c>
      <c r="R113" s="1018"/>
      <c r="S113" s="1076" t="str">
        <f t="shared" si="21"/>
        <v>0</v>
      </c>
      <c r="T113" s="1073">
        <f t="shared" si="17"/>
        <v>0</v>
      </c>
      <c r="U113" s="1073">
        <f t="shared" si="18"/>
        <v>0</v>
      </c>
      <c r="V113" s="1073">
        <f t="shared" si="19"/>
        <v>0</v>
      </c>
      <c r="W113" s="1020"/>
      <c r="X113" s="1020"/>
      <c r="Y113" s="1017"/>
      <c r="Z113" s="1073">
        <f t="shared" si="20"/>
        <v>0</v>
      </c>
      <c r="AA113" s="1017"/>
      <c r="AB113" s="1018"/>
      <c r="AC113" s="1018"/>
      <c r="AD113" s="1017"/>
    </row>
    <row r="114" spans="1:30" ht="12.75">
      <c r="A114" s="1016"/>
      <c r="B114" s="1017"/>
      <c r="C114" s="1017"/>
      <c r="D114" s="1021">
        <f t="shared" si="12"/>
        <v>0</v>
      </c>
      <c r="E114" s="1021">
        <f t="shared" si="13"/>
        <v>0</v>
      </c>
      <c r="F114" s="1017"/>
      <c r="G114" s="1017"/>
      <c r="H114" s="159"/>
      <c r="I114" s="1017"/>
      <c r="J114" s="1017"/>
      <c r="K114" s="1017"/>
      <c r="L114" s="1017"/>
      <c r="M114" s="1021">
        <f t="shared" si="14"/>
        <v>0</v>
      </c>
      <c r="N114" s="1018"/>
      <c r="O114" s="1073">
        <f t="shared" si="15"/>
        <v>0</v>
      </c>
      <c r="P114" s="1018"/>
      <c r="Q114" s="1073">
        <f t="shared" si="16"/>
        <v>0</v>
      </c>
      <c r="R114" s="1018"/>
      <c r="S114" s="1076" t="str">
        <f t="shared" si="21"/>
        <v>0</v>
      </c>
      <c r="T114" s="1073">
        <f t="shared" si="17"/>
        <v>0</v>
      </c>
      <c r="U114" s="1073">
        <f t="shared" si="18"/>
        <v>0</v>
      </c>
      <c r="V114" s="1073">
        <f t="shared" si="19"/>
        <v>0</v>
      </c>
      <c r="W114" s="1020"/>
      <c r="X114" s="1020"/>
      <c r="Y114" s="1017"/>
      <c r="Z114" s="1073">
        <f t="shared" si="20"/>
        <v>0</v>
      </c>
      <c r="AA114" s="1017"/>
      <c r="AB114" s="1018"/>
      <c r="AC114" s="1018"/>
      <c r="AD114" s="1017"/>
    </row>
    <row r="115" spans="1:30" ht="12.75">
      <c r="A115" s="1016"/>
      <c r="B115" s="1017"/>
      <c r="C115" s="1017"/>
      <c r="D115" s="1021">
        <f t="shared" si="12"/>
        <v>0</v>
      </c>
      <c r="E115" s="1021">
        <f t="shared" si="13"/>
        <v>0</v>
      </c>
      <c r="F115" s="1017"/>
      <c r="G115" s="1017"/>
      <c r="H115" s="159"/>
      <c r="I115" s="1017"/>
      <c r="J115" s="1017"/>
      <c r="K115" s="1017"/>
      <c r="L115" s="1017"/>
      <c r="M115" s="1021">
        <f t="shared" si="14"/>
        <v>0</v>
      </c>
      <c r="N115" s="1018"/>
      <c r="O115" s="1073">
        <f t="shared" si="15"/>
        <v>0</v>
      </c>
      <c r="P115" s="1018"/>
      <c r="Q115" s="1073">
        <f t="shared" si="16"/>
        <v>0</v>
      </c>
      <c r="R115" s="1018"/>
      <c r="S115" s="1076" t="str">
        <f t="shared" si="21"/>
        <v>0</v>
      </c>
      <c r="T115" s="1073">
        <f t="shared" si="17"/>
        <v>0</v>
      </c>
      <c r="U115" s="1073">
        <f t="shared" si="18"/>
        <v>0</v>
      </c>
      <c r="V115" s="1073">
        <f t="shared" si="19"/>
        <v>0</v>
      </c>
      <c r="W115" s="1020"/>
      <c r="X115" s="1020"/>
      <c r="Y115" s="1017"/>
      <c r="Z115" s="1073">
        <f t="shared" si="20"/>
        <v>0</v>
      </c>
      <c r="AA115" s="1017"/>
      <c r="AB115" s="1018"/>
      <c r="AC115" s="1018"/>
      <c r="AD115" s="1017"/>
    </row>
    <row r="116" spans="1:30" ht="12.75">
      <c r="A116" s="1016"/>
      <c r="B116" s="1017"/>
      <c r="C116" s="1017"/>
      <c r="D116" s="1021">
        <f t="shared" si="12"/>
        <v>0</v>
      </c>
      <c r="E116" s="1021">
        <f t="shared" si="13"/>
        <v>0</v>
      </c>
      <c r="F116" s="1017"/>
      <c r="G116" s="1017"/>
      <c r="H116" s="159"/>
      <c r="I116" s="1017"/>
      <c r="J116" s="1017"/>
      <c r="K116" s="1017"/>
      <c r="L116" s="1017"/>
      <c r="M116" s="1021">
        <f t="shared" si="14"/>
        <v>0</v>
      </c>
      <c r="N116" s="1018"/>
      <c r="O116" s="1073">
        <f t="shared" si="15"/>
        <v>0</v>
      </c>
      <c r="P116" s="1018"/>
      <c r="Q116" s="1073">
        <f t="shared" si="16"/>
        <v>0</v>
      </c>
      <c r="R116" s="1018"/>
      <c r="S116" s="1076" t="str">
        <f t="shared" si="21"/>
        <v>0</v>
      </c>
      <c r="T116" s="1073">
        <f t="shared" si="17"/>
        <v>0</v>
      </c>
      <c r="U116" s="1073">
        <f t="shared" si="18"/>
        <v>0</v>
      </c>
      <c r="V116" s="1073">
        <f t="shared" si="19"/>
        <v>0</v>
      </c>
      <c r="W116" s="1020"/>
      <c r="X116" s="1020"/>
      <c r="Y116" s="1017"/>
      <c r="Z116" s="1073">
        <f t="shared" si="20"/>
        <v>0</v>
      </c>
      <c r="AA116" s="1017"/>
      <c r="AB116" s="1018"/>
      <c r="AC116" s="1018"/>
      <c r="AD116" s="1017"/>
    </row>
    <row r="117" spans="1:30" ht="12.75">
      <c r="A117" s="1016"/>
      <c r="B117" s="1017"/>
      <c r="C117" s="1017"/>
      <c r="D117" s="1021">
        <f t="shared" si="12"/>
        <v>0</v>
      </c>
      <c r="E117" s="1021">
        <f t="shared" si="13"/>
        <v>0</v>
      </c>
      <c r="F117" s="1017"/>
      <c r="G117" s="1017"/>
      <c r="H117" s="159"/>
      <c r="I117" s="1017"/>
      <c r="J117" s="1017"/>
      <c r="K117" s="1017"/>
      <c r="L117" s="1017"/>
      <c r="M117" s="1021">
        <f t="shared" si="14"/>
        <v>0</v>
      </c>
      <c r="N117" s="1018"/>
      <c r="O117" s="1073">
        <f t="shared" si="15"/>
        <v>0</v>
      </c>
      <c r="P117" s="1018"/>
      <c r="Q117" s="1073">
        <f t="shared" si="16"/>
        <v>0</v>
      </c>
      <c r="R117" s="1018"/>
      <c r="S117" s="1076" t="str">
        <f t="shared" si="21"/>
        <v>0</v>
      </c>
      <c r="T117" s="1073">
        <f t="shared" si="17"/>
        <v>0</v>
      </c>
      <c r="U117" s="1073">
        <f t="shared" si="18"/>
        <v>0</v>
      </c>
      <c r="V117" s="1073">
        <f t="shared" si="19"/>
        <v>0</v>
      </c>
      <c r="W117" s="1020"/>
      <c r="X117" s="1020"/>
      <c r="Y117" s="1017"/>
      <c r="Z117" s="1073">
        <f t="shared" si="20"/>
        <v>0</v>
      </c>
      <c r="AA117" s="1017"/>
      <c r="AB117" s="1018"/>
      <c r="AC117" s="1018"/>
      <c r="AD117" s="1017"/>
    </row>
    <row r="118" spans="1:30" ht="12.75">
      <c r="A118" s="1016"/>
      <c r="B118" s="1017"/>
      <c r="C118" s="1017"/>
      <c r="D118" s="1021">
        <f t="shared" si="12"/>
        <v>0</v>
      </c>
      <c r="E118" s="1021">
        <f t="shared" si="13"/>
        <v>0</v>
      </c>
      <c r="F118" s="1017"/>
      <c r="G118" s="1017"/>
      <c r="H118" s="159"/>
      <c r="I118" s="1017"/>
      <c r="J118" s="1017"/>
      <c r="K118" s="1017"/>
      <c r="L118" s="1017"/>
      <c r="M118" s="1021">
        <f t="shared" si="14"/>
        <v>0</v>
      </c>
      <c r="N118" s="1018"/>
      <c r="O118" s="1073">
        <f t="shared" si="15"/>
        <v>0</v>
      </c>
      <c r="P118" s="1018"/>
      <c r="Q118" s="1073">
        <f t="shared" si="16"/>
        <v>0</v>
      </c>
      <c r="R118" s="1018"/>
      <c r="S118" s="1076" t="str">
        <f t="shared" si="21"/>
        <v>0</v>
      </c>
      <c r="T118" s="1073">
        <f t="shared" si="17"/>
        <v>0</v>
      </c>
      <c r="U118" s="1073">
        <f t="shared" si="18"/>
        <v>0</v>
      </c>
      <c r="V118" s="1073">
        <f t="shared" si="19"/>
        <v>0</v>
      </c>
      <c r="W118" s="1020"/>
      <c r="X118" s="1020"/>
      <c r="Y118" s="1017"/>
      <c r="Z118" s="1073">
        <f t="shared" si="20"/>
        <v>0</v>
      </c>
      <c r="AA118" s="1017"/>
      <c r="AB118" s="1018"/>
      <c r="AC118" s="1018"/>
      <c r="AD118" s="1017"/>
    </row>
    <row r="119" spans="1:30" ht="12.75">
      <c r="A119" s="1016"/>
      <c r="B119" s="1017"/>
      <c r="C119" s="1017"/>
      <c r="D119" s="1021">
        <f t="shared" si="12"/>
        <v>0</v>
      </c>
      <c r="E119" s="1021">
        <f t="shared" si="13"/>
        <v>0</v>
      </c>
      <c r="F119" s="1017"/>
      <c r="G119" s="1017"/>
      <c r="H119" s="159"/>
      <c r="I119" s="1017"/>
      <c r="J119" s="1017"/>
      <c r="K119" s="1017"/>
      <c r="L119" s="1017"/>
      <c r="M119" s="1021">
        <f t="shared" si="14"/>
        <v>0</v>
      </c>
      <c r="N119" s="1018"/>
      <c r="O119" s="1073">
        <f t="shared" si="15"/>
        <v>0</v>
      </c>
      <c r="P119" s="1018"/>
      <c r="Q119" s="1073">
        <f t="shared" si="16"/>
        <v>0</v>
      </c>
      <c r="R119" s="1018"/>
      <c r="S119" s="1076" t="str">
        <f t="shared" si="21"/>
        <v>0</v>
      </c>
      <c r="T119" s="1073">
        <f t="shared" si="17"/>
        <v>0</v>
      </c>
      <c r="U119" s="1073">
        <f t="shared" si="18"/>
        <v>0</v>
      </c>
      <c r="V119" s="1073">
        <f t="shared" si="19"/>
        <v>0</v>
      </c>
      <c r="W119" s="1020"/>
      <c r="X119" s="1020"/>
      <c r="Y119" s="1017"/>
      <c r="Z119" s="1073">
        <f t="shared" si="20"/>
        <v>0</v>
      </c>
      <c r="AA119" s="1017"/>
      <c r="AB119" s="1018"/>
      <c r="AC119" s="1018"/>
      <c r="AD119" s="1017"/>
    </row>
    <row r="120" spans="1:30" ht="12.75">
      <c r="A120" s="1016"/>
      <c r="B120" s="1017"/>
      <c r="C120" s="1017"/>
      <c r="D120" s="1021">
        <f t="shared" si="12"/>
        <v>0</v>
      </c>
      <c r="E120" s="1021">
        <f t="shared" si="13"/>
        <v>0</v>
      </c>
      <c r="F120" s="1017"/>
      <c r="G120" s="1017"/>
      <c r="H120" s="159"/>
      <c r="I120" s="1017"/>
      <c r="J120" s="1017"/>
      <c r="K120" s="1017"/>
      <c r="L120" s="1017"/>
      <c r="M120" s="1021">
        <f t="shared" si="14"/>
        <v>0</v>
      </c>
      <c r="N120" s="1018"/>
      <c r="O120" s="1073">
        <f t="shared" si="15"/>
        <v>0</v>
      </c>
      <c r="P120" s="1018"/>
      <c r="Q120" s="1073">
        <f t="shared" si="16"/>
        <v>0</v>
      </c>
      <c r="R120" s="1018"/>
      <c r="S120" s="1076" t="str">
        <f t="shared" si="21"/>
        <v>0</v>
      </c>
      <c r="T120" s="1073">
        <f t="shared" si="17"/>
        <v>0</v>
      </c>
      <c r="U120" s="1073">
        <f t="shared" si="18"/>
        <v>0</v>
      </c>
      <c r="V120" s="1073">
        <f t="shared" si="19"/>
        <v>0</v>
      </c>
      <c r="W120" s="1020"/>
      <c r="X120" s="1020"/>
      <c r="Y120" s="1017"/>
      <c r="Z120" s="1073">
        <f t="shared" si="20"/>
        <v>0</v>
      </c>
      <c r="AA120" s="1017"/>
      <c r="AB120" s="1018"/>
      <c r="AC120" s="1018"/>
      <c r="AD120" s="1017"/>
    </row>
    <row r="121" spans="1:30" ht="12.75">
      <c r="A121" s="1016"/>
      <c r="B121" s="1017"/>
      <c r="C121" s="1017"/>
      <c r="D121" s="1021">
        <f t="shared" si="12"/>
        <v>0</v>
      </c>
      <c r="E121" s="1021">
        <f t="shared" si="13"/>
        <v>0</v>
      </c>
      <c r="F121" s="1017"/>
      <c r="G121" s="1017"/>
      <c r="H121" s="159"/>
      <c r="I121" s="1017"/>
      <c r="J121" s="1017"/>
      <c r="K121" s="1017"/>
      <c r="L121" s="1017"/>
      <c r="M121" s="1021">
        <f t="shared" si="14"/>
        <v>0</v>
      </c>
      <c r="N121" s="1018"/>
      <c r="O121" s="1073">
        <f t="shared" si="15"/>
        <v>0</v>
      </c>
      <c r="P121" s="1018"/>
      <c r="Q121" s="1073">
        <f t="shared" si="16"/>
        <v>0</v>
      </c>
      <c r="R121" s="1018"/>
      <c r="S121" s="1076" t="str">
        <f t="shared" si="21"/>
        <v>0</v>
      </c>
      <c r="T121" s="1073">
        <f t="shared" si="17"/>
        <v>0</v>
      </c>
      <c r="U121" s="1073">
        <f t="shared" si="18"/>
        <v>0</v>
      </c>
      <c r="V121" s="1073">
        <f t="shared" si="19"/>
        <v>0</v>
      </c>
      <c r="W121" s="1020"/>
      <c r="X121" s="1020"/>
      <c r="Y121" s="1017"/>
      <c r="Z121" s="1073">
        <f t="shared" si="20"/>
        <v>0</v>
      </c>
      <c r="AA121" s="1017"/>
      <c r="AB121" s="1018"/>
      <c r="AC121" s="1018"/>
      <c r="AD121" s="1017"/>
    </row>
    <row r="122" spans="1:30" ht="12.75">
      <c r="A122" s="1016"/>
      <c r="B122" s="1017"/>
      <c r="C122" s="1017"/>
      <c r="D122" s="1021">
        <f t="shared" si="12"/>
        <v>0</v>
      </c>
      <c r="E122" s="1021">
        <f t="shared" si="13"/>
        <v>0</v>
      </c>
      <c r="F122" s="1017"/>
      <c r="G122" s="1017"/>
      <c r="H122" s="159"/>
      <c r="I122" s="1017"/>
      <c r="J122" s="1017"/>
      <c r="K122" s="1017"/>
      <c r="L122" s="1017"/>
      <c r="M122" s="1021">
        <f t="shared" si="14"/>
        <v>0</v>
      </c>
      <c r="N122" s="1018"/>
      <c r="O122" s="1073">
        <f t="shared" si="15"/>
        <v>0</v>
      </c>
      <c r="P122" s="1018"/>
      <c r="Q122" s="1073">
        <f t="shared" si="16"/>
        <v>0</v>
      </c>
      <c r="R122" s="1018"/>
      <c r="S122" s="1076" t="str">
        <f t="shared" si="21"/>
        <v>0</v>
      </c>
      <c r="T122" s="1073">
        <f t="shared" si="17"/>
        <v>0</v>
      </c>
      <c r="U122" s="1073">
        <f t="shared" si="18"/>
        <v>0</v>
      </c>
      <c r="V122" s="1073">
        <f t="shared" si="19"/>
        <v>0</v>
      </c>
      <c r="W122" s="1020"/>
      <c r="X122" s="1020"/>
      <c r="Y122" s="1017"/>
      <c r="Z122" s="1073">
        <f t="shared" si="20"/>
        <v>0</v>
      </c>
      <c r="AA122" s="1017"/>
      <c r="AB122" s="1018"/>
      <c r="AC122" s="1018"/>
      <c r="AD122" s="1017"/>
    </row>
    <row r="123" spans="1:30" ht="12.75">
      <c r="A123" s="1016"/>
      <c r="B123" s="1017"/>
      <c r="C123" s="1017"/>
      <c r="D123" s="1021">
        <f t="shared" si="12"/>
        <v>0</v>
      </c>
      <c r="E123" s="1021">
        <f t="shared" si="13"/>
        <v>0</v>
      </c>
      <c r="F123" s="1017"/>
      <c r="G123" s="1017"/>
      <c r="H123" s="159"/>
      <c r="I123" s="1017"/>
      <c r="J123" s="1017"/>
      <c r="K123" s="1017"/>
      <c r="L123" s="1017"/>
      <c r="M123" s="1021">
        <f t="shared" si="14"/>
        <v>0</v>
      </c>
      <c r="N123" s="1018"/>
      <c r="O123" s="1073">
        <f t="shared" si="15"/>
        <v>0</v>
      </c>
      <c r="P123" s="1018"/>
      <c r="Q123" s="1073">
        <f t="shared" si="16"/>
        <v>0</v>
      </c>
      <c r="R123" s="1018"/>
      <c r="S123" s="1076" t="str">
        <f t="shared" si="21"/>
        <v>0</v>
      </c>
      <c r="T123" s="1073">
        <f t="shared" si="17"/>
        <v>0</v>
      </c>
      <c r="U123" s="1073">
        <f t="shared" si="18"/>
        <v>0</v>
      </c>
      <c r="V123" s="1073">
        <f t="shared" si="19"/>
        <v>0</v>
      </c>
      <c r="W123" s="1020"/>
      <c r="X123" s="1020"/>
      <c r="Y123" s="1017"/>
      <c r="Z123" s="1073">
        <f t="shared" si="20"/>
        <v>0</v>
      </c>
      <c r="AA123" s="1017"/>
      <c r="AB123" s="1018"/>
      <c r="AC123" s="1018"/>
      <c r="AD123" s="1017"/>
    </row>
    <row r="124" spans="1:30" ht="12.75">
      <c r="A124" s="1016"/>
      <c r="B124" s="1017"/>
      <c r="C124" s="1017"/>
      <c r="D124" s="1021">
        <f t="shared" si="12"/>
        <v>0</v>
      </c>
      <c r="E124" s="1021">
        <f t="shared" si="13"/>
        <v>0</v>
      </c>
      <c r="F124" s="1017"/>
      <c r="G124" s="1017"/>
      <c r="H124" s="159"/>
      <c r="I124" s="1017"/>
      <c r="J124" s="1017"/>
      <c r="K124" s="1017"/>
      <c r="L124" s="1017"/>
      <c r="M124" s="1021">
        <f t="shared" si="14"/>
        <v>0</v>
      </c>
      <c r="N124" s="1018"/>
      <c r="O124" s="1073">
        <f t="shared" si="15"/>
        <v>0</v>
      </c>
      <c r="P124" s="1018"/>
      <c r="Q124" s="1073">
        <f t="shared" si="16"/>
        <v>0</v>
      </c>
      <c r="R124" s="1018"/>
      <c r="S124" s="1076" t="str">
        <f t="shared" si="21"/>
        <v>0</v>
      </c>
      <c r="T124" s="1073">
        <f t="shared" si="17"/>
        <v>0</v>
      </c>
      <c r="U124" s="1073">
        <f t="shared" si="18"/>
        <v>0</v>
      </c>
      <c r="V124" s="1073">
        <f t="shared" si="19"/>
        <v>0</v>
      </c>
      <c r="W124" s="1020"/>
      <c r="X124" s="1020"/>
      <c r="Y124" s="1017"/>
      <c r="Z124" s="1073">
        <f t="shared" si="20"/>
        <v>0</v>
      </c>
      <c r="AA124" s="1017"/>
      <c r="AB124" s="1018"/>
      <c r="AC124" s="1018"/>
      <c r="AD124" s="1017"/>
    </row>
    <row r="125" spans="1:30" ht="12.75">
      <c r="A125" s="1016"/>
      <c r="B125" s="1017"/>
      <c r="C125" s="1017"/>
      <c r="D125" s="1021">
        <f t="shared" si="12"/>
        <v>0</v>
      </c>
      <c r="E125" s="1021">
        <f t="shared" si="13"/>
        <v>0</v>
      </c>
      <c r="F125" s="1017"/>
      <c r="G125" s="1017"/>
      <c r="H125" s="159"/>
      <c r="I125" s="1017"/>
      <c r="J125" s="1017"/>
      <c r="K125" s="1017"/>
      <c r="L125" s="1017"/>
      <c r="M125" s="1021">
        <f t="shared" si="14"/>
        <v>0</v>
      </c>
      <c r="N125" s="1018"/>
      <c r="O125" s="1073">
        <f t="shared" si="15"/>
        <v>0</v>
      </c>
      <c r="P125" s="1018"/>
      <c r="Q125" s="1073">
        <f t="shared" si="16"/>
        <v>0</v>
      </c>
      <c r="R125" s="1018"/>
      <c r="S125" s="1076" t="str">
        <f t="shared" si="21"/>
        <v>0</v>
      </c>
      <c r="T125" s="1073">
        <f t="shared" si="17"/>
        <v>0</v>
      </c>
      <c r="U125" s="1073">
        <f t="shared" si="18"/>
        <v>0</v>
      </c>
      <c r="V125" s="1073">
        <f t="shared" si="19"/>
        <v>0</v>
      </c>
      <c r="W125" s="1020"/>
      <c r="X125" s="1020"/>
      <c r="Y125" s="1017"/>
      <c r="Z125" s="1073">
        <f t="shared" si="20"/>
        <v>0</v>
      </c>
      <c r="AA125" s="1017"/>
      <c r="AB125" s="1018"/>
      <c r="AC125" s="1018"/>
      <c r="AD125" s="1017"/>
    </row>
    <row r="126" spans="1:30" ht="12.75">
      <c r="A126" s="1016"/>
      <c r="B126" s="1017"/>
      <c r="C126" s="1017"/>
      <c r="D126" s="1021">
        <f t="shared" si="12"/>
        <v>0</v>
      </c>
      <c r="E126" s="1021">
        <f t="shared" si="13"/>
        <v>0</v>
      </c>
      <c r="F126" s="1017"/>
      <c r="G126" s="1017"/>
      <c r="H126" s="159"/>
      <c r="I126" s="1017"/>
      <c r="J126" s="1017"/>
      <c r="K126" s="1017"/>
      <c r="L126" s="1017"/>
      <c r="M126" s="1021">
        <f t="shared" si="14"/>
        <v>0</v>
      </c>
      <c r="N126" s="1018"/>
      <c r="O126" s="1073">
        <f t="shared" si="15"/>
        <v>0</v>
      </c>
      <c r="P126" s="1018"/>
      <c r="Q126" s="1073">
        <f t="shared" si="16"/>
        <v>0</v>
      </c>
      <c r="R126" s="1018"/>
      <c r="S126" s="1076" t="str">
        <f t="shared" si="21"/>
        <v>0</v>
      </c>
      <c r="T126" s="1073">
        <f t="shared" si="17"/>
        <v>0</v>
      </c>
      <c r="U126" s="1073">
        <f t="shared" si="18"/>
        <v>0</v>
      </c>
      <c r="V126" s="1073">
        <f t="shared" si="19"/>
        <v>0</v>
      </c>
      <c r="W126" s="1020"/>
      <c r="X126" s="1020"/>
      <c r="Y126" s="1017"/>
      <c r="Z126" s="1073">
        <f t="shared" si="20"/>
        <v>0</v>
      </c>
      <c r="AA126" s="1017"/>
      <c r="AB126" s="1018"/>
      <c r="AC126" s="1018"/>
      <c r="AD126" s="1017"/>
    </row>
    <row r="127" spans="1:30" ht="12.75">
      <c r="A127" s="1016"/>
      <c r="B127" s="1017"/>
      <c r="C127" s="1017"/>
      <c r="D127" s="1021">
        <f t="shared" si="12"/>
        <v>0</v>
      </c>
      <c r="E127" s="1021">
        <f t="shared" si="13"/>
        <v>0</v>
      </c>
      <c r="F127" s="1017"/>
      <c r="G127" s="1017"/>
      <c r="H127" s="159"/>
      <c r="I127" s="1017"/>
      <c r="J127" s="1017"/>
      <c r="K127" s="1017"/>
      <c r="L127" s="1017"/>
      <c r="M127" s="1021">
        <f t="shared" si="14"/>
        <v>0</v>
      </c>
      <c r="N127" s="1018"/>
      <c r="O127" s="1073">
        <f t="shared" si="15"/>
        <v>0</v>
      </c>
      <c r="P127" s="1018"/>
      <c r="Q127" s="1073">
        <f t="shared" si="16"/>
        <v>0</v>
      </c>
      <c r="R127" s="1018"/>
      <c r="S127" s="1076" t="str">
        <f t="shared" si="21"/>
        <v>0</v>
      </c>
      <c r="T127" s="1073">
        <f t="shared" si="17"/>
        <v>0</v>
      </c>
      <c r="U127" s="1073">
        <f t="shared" si="18"/>
        <v>0</v>
      </c>
      <c r="V127" s="1073">
        <f t="shared" si="19"/>
        <v>0</v>
      </c>
      <c r="W127" s="1020"/>
      <c r="X127" s="1020"/>
      <c r="Y127" s="1017"/>
      <c r="Z127" s="1073">
        <f t="shared" si="20"/>
        <v>0</v>
      </c>
      <c r="AA127" s="1017"/>
      <c r="AB127" s="1018"/>
      <c r="AC127" s="1018"/>
      <c r="AD127" s="1017"/>
    </row>
    <row r="128" spans="1:30" ht="12.75">
      <c r="A128" s="1016"/>
      <c r="B128" s="1017"/>
      <c r="C128" s="1017"/>
      <c r="D128" s="1021">
        <f t="shared" si="12"/>
        <v>0</v>
      </c>
      <c r="E128" s="1021">
        <f t="shared" si="13"/>
        <v>0</v>
      </c>
      <c r="F128" s="1017"/>
      <c r="G128" s="1017"/>
      <c r="H128" s="159"/>
      <c r="I128" s="1017"/>
      <c r="J128" s="1017"/>
      <c r="K128" s="1017"/>
      <c r="L128" s="1017"/>
      <c r="M128" s="1021">
        <f t="shared" si="14"/>
        <v>0</v>
      </c>
      <c r="N128" s="1018"/>
      <c r="O128" s="1073">
        <f t="shared" si="15"/>
        <v>0</v>
      </c>
      <c r="P128" s="1018"/>
      <c r="Q128" s="1073">
        <f t="shared" si="16"/>
        <v>0</v>
      </c>
      <c r="R128" s="1018"/>
      <c r="S128" s="1076" t="str">
        <f t="shared" si="21"/>
        <v>0</v>
      </c>
      <c r="T128" s="1073">
        <f t="shared" si="17"/>
        <v>0</v>
      </c>
      <c r="U128" s="1073">
        <f t="shared" si="18"/>
        <v>0</v>
      </c>
      <c r="V128" s="1073">
        <f t="shared" si="19"/>
        <v>0</v>
      </c>
      <c r="W128" s="1020"/>
      <c r="X128" s="1020"/>
      <c r="Y128" s="1017"/>
      <c r="Z128" s="1073">
        <f t="shared" si="20"/>
        <v>0</v>
      </c>
      <c r="AA128" s="1017"/>
      <c r="AB128" s="1018"/>
      <c r="AC128" s="1018"/>
      <c r="AD128" s="1017"/>
    </row>
    <row r="129" spans="1:30" ht="12.75">
      <c r="A129" s="1016"/>
      <c r="B129" s="1017"/>
      <c r="C129" s="1017"/>
      <c r="D129" s="1021">
        <f t="shared" si="12"/>
        <v>0</v>
      </c>
      <c r="E129" s="1021">
        <f t="shared" si="13"/>
        <v>0</v>
      </c>
      <c r="F129" s="1017"/>
      <c r="G129" s="1017"/>
      <c r="H129" s="159"/>
      <c r="I129" s="1017"/>
      <c r="J129" s="1017"/>
      <c r="K129" s="1017"/>
      <c r="L129" s="1017"/>
      <c r="M129" s="1021">
        <f t="shared" si="14"/>
        <v>0</v>
      </c>
      <c r="N129" s="1018"/>
      <c r="O129" s="1073">
        <f t="shared" si="15"/>
        <v>0</v>
      </c>
      <c r="P129" s="1018"/>
      <c r="Q129" s="1073">
        <f t="shared" si="16"/>
        <v>0</v>
      </c>
      <c r="R129" s="1018"/>
      <c r="S129" s="1076" t="str">
        <f t="shared" si="21"/>
        <v>0</v>
      </c>
      <c r="T129" s="1073">
        <f t="shared" si="17"/>
        <v>0</v>
      </c>
      <c r="U129" s="1073">
        <f t="shared" si="18"/>
        <v>0</v>
      </c>
      <c r="V129" s="1073">
        <f t="shared" si="19"/>
        <v>0</v>
      </c>
      <c r="W129" s="1020"/>
      <c r="X129" s="1020"/>
      <c r="Y129" s="1017"/>
      <c r="Z129" s="1073">
        <f t="shared" si="20"/>
        <v>0</v>
      </c>
      <c r="AA129" s="1017"/>
      <c r="AB129" s="1018"/>
      <c r="AC129" s="1018"/>
      <c r="AD129" s="1017"/>
    </row>
    <row r="130" spans="1:30" ht="12.75">
      <c r="A130" s="1016"/>
      <c r="B130" s="1017"/>
      <c r="C130" s="1017"/>
      <c r="D130" s="1021">
        <f t="shared" si="12"/>
        <v>0</v>
      </c>
      <c r="E130" s="1021">
        <f t="shared" si="13"/>
        <v>0</v>
      </c>
      <c r="F130" s="1017"/>
      <c r="G130" s="1017"/>
      <c r="H130" s="159"/>
      <c r="I130" s="1017"/>
      <c r="J130" s="1017"/>
      <c r="K130" s="1017"/>
      <c r="L130" s="1017"/>
      <c r="M130" s="1021">
        <f t="shared" si="14"/>
        <v>0</v>
      </c>
      <c r="N130" s="1018"/>
      <c r="O130" s="1073">
        <f t="shared" si="15"/>
        <v>0</v>
      </c>
      <c r="P130" s="1018"/>
      <c r="Q130" s="1073">
        <f t="shared" si="16"/>
        <v>0</v>
      </c>
      <c r="R130" s="1018"/>
      <c r="S130" s="1076" t="str">
        <f t="shared" si="21"/>
        <v>0</v>
      </c>
      <c r="T130" s="1073">
        <f t="shared" si="17"/>
        <v>0</v>
      </c>
      <c r="U130" s="1073">
        <f t="shared" si="18"/>
        <v>0</v>
      </c>
      <c r="V130" s="1073">
        <f t="shared" si="19"/>
        <v>0</v>
      </c>
      <c r="W130" s="1020"/>
      <c r="X130" s="1020"/>
      <c r="Y130" s="1017"/>
      <c r="Z130" s="1073">
        <f t="shared" si="20"/>
        <v>0</v>
      </c>
      <c r="AA130" s="1017"/>
      <c r="AB130" s="1018"/>
      <c r="AC130" s="1018"/>
      <c r="AD130" s="1017"/>
    </row>
    <row r="131" spans="1:30" ht="12.75">
      <c r="A131" s="1016"/>
      <c r="B131" s="1017"/>
      <c r="C131" s="1017"/>
      <c r="D131" s="1021">
        <f t="shared" si="12"/>
        <v>0</v>
      </c>
      <c r="E131" s="1021">
        <f t="shared" si="13"/>
        <v>0</v>
      </c>
      <c r="F131" s="1017"/>
      <c r="G131" s="1017"/>
      <c r="H131" s="159"/>
      <c r="I131" s="1017"/>
      <c r="J131" s="1017"/>
      <c r="K131" s="1017"/>
      <c r="L131" s="1017"/>
      <c r="M131" s="1021">
        <f t="shared" si="14"/>
        <v>0</v>
      </c>
      <c r="N131" s="1018"/>
      <c r="O131" s="1073">
        <f t="shared" si="15"/>
        <v>0</v>
      </c>
      <c r="P131" s="1018"/>
      <c r="Q131" s="1073">
        <f t="shared" si="16"/>
        <v>0</v>
      </c>
      <c r="R131" s="1018"/>
      <c r="S131" s="1076" t="str">
        <f t="shared" si="21"/>
        <v>0</v>
      </c>
      <c r="T131" s="1073">
        <f t="shared" si="17"/>
        <v>0</v>
      </c>
      <c r="U131" s="1073">
        <f t="shared" si="18"/>
        <v>0</v>
      </c>
      <c r="V131" s="1073">
        <f t="shared" si="19"/>
        <v>0</v>
      </c>
      <c r="W131" s="1020"/>
      <c r="X131" s="1020"/>
      <c r="Y131" s="1017"/>
      <c r="Z131" s="1073">
        <f t="shared" si="20"/>
        <v>0</v>
      </c>
      <c r="AA131" s="1017"/>
      <c r="AB131" s="1018"/>
      <c r="AC131" s="1018"/>
      <c r="AD131" s="1017"/>
    </row>
    <row r="132" spans="1:30" ht="12.75">
      <c r="A132" s="1016"/>
      <c r="B132" s="1017"/>
      <c r="C132" s="1017"/>
      <c r="D132" s="1021">
        <f t="shared" si="12"/>
        <v>0</v>
      </c>
      <c r="E132" s="1021">
        <f t="shared" si="13"/>
        <v>0</v>
      </c>
      <c r="F132" s="1017"/>
      <c r="G132" s="1017"/>
      <c r="H132" s="159"/>
      <c r="I132" s="1017"/>
      <c r="J132" s="1017"/>
      <c r="K132" s="1017"/>
      <c r="L132" s="1017"/>
      <c r="M132" s="1021">
        <f t="shared" si="14"/>
        <v>0</v>
      </c>
      <c r="N132" s="1018"/>
      <c r="O132" s="1073">
        <f t="shared" si="15"/>
        <v>0</v>
      </c>
      <c r="P132" s="1018"/>
      <c r="Q132" s="1073">
        <f t="shared" si="16"/>
        <v>0</v>
      </c>
      <c r="R132" s="1018"/>
      <c r="S132" s="1076" t="str">
        <f t="shared" si="21"/>
        <v>0</v>
      </c>
      <c r="T132" s="1073">
        <f t="shared" si="17"/>
        <v>0</v>
      </c>
      <c r="U132" s="1073">
        <f t="shared" si="18"/>
        <v>0</v>
      </c>
      <c r="V132" s="1073">
        <f t="shared" si="19"/>
        <v>0</v>
      </c>
      <c r="W132" s="1020"/>
      <c r="X132" s="1020"/>
      <c r="Y132" s="1017"/>
      <c r="Z132" s="1073">
        <f t="shared" si="20"/>
        <v>0</v>
      </c>
      <c r="AA132" s="1017"/>
      <c r="AB132" s="1018"/>
      <c r="AC132" s="1018"/>
      <c r="AD132" s="1017"/>
    </row>
    <row r="133" spans="1:30" ht="12.75">
      <c r="A133" s="1016"/>
      <c r="B133" s="1017"/>
      <c r="C133" s="1017"/>
      <c r="D133" s="1021">
        <f t="shared" si="12"/>
        <v>0</v>
      </c>
      <c r="E133" s="1021">
        <f t="shared" si="13"/>
        <v>0</v>
      </c>
      <c r="F133" s="1017"/>
      <c r="G133" s="1017"/>
      <c r="H133" s="159"/>
      <c r="I133" s="1017"/>
      <c r="J133" s="1017"/>
      <c r="K133" s="1017"/>
      <c r="L133" s="1017"/>
      <c r="M133" s="1021">
        <f t="shared" si="14"/>
        <v>0</v>
      </c>
      <c r="N133" s="1018"/>
      <c r="O133" s="1073">
        <f t="shared" si="15"/>
        <v>0</v>
      </c>
      <c r="P133" s="1018"/>
      <c r="Q133" s="1073">
        <f t="shared" si="16"/>
        <v>0</v>
      </c>
      <c r="R133" s="1018"/>
      <c r="S133" s="1076" t="str">
        <f t="shared" si="21"/>
        <v>0</v>
      </c>
      <c r="T133" s="1073">
        <f t="shared" si="17"/>
        <v>0</v>
      </c>
      <c r="U133" s="1073">
        <f t="shared" si="18"/>
        <v>0</v>
      </c>
      <c r="V133" s="1073">
        <f t="shared" si="19"/>
        <v>0</v>
      </c>
      <c r="W133" s="1020"/>
      <c r="X133" s="1020"/>
      <c r="Y133" s="1017"/>
      <c r="Z133" s="1073">
        <f t="shared" si="20"/>
        <v>0</v>
      </c>
      <c r="AA133" s="1017"/>
      <c r="AB133" s="1018"/>
      <c r="AC133" s="1018"/>
      <c r="AD133" s="1017"/>
    </row>
    <row r="134" spans="1:30" ht="12.75">
      <c r="A134" s="1016"/>
      <c r="B134" s="1017"/>
      <c r="C134" s="1017"/>
      <c r="D134" s="1021">
        <f t="shared" si="12"/>
        <v>0</v>
      </c>
      <c r="E134" s="1021">
        <f t="shared" si="13"/>
        <v>0</v>
      </c>
      <c r="F134" s="1017"/>
      <c r="G134" s="1017"/>
      <c r="H134" s="159"/>
      <c r="I134" s="1017"/>
      <c r="J134" s="1017"/>
      <c r="K134" s="1017"/>
      <c r="L134" s="1017"/>
      <c r="M134" s="1021">
        <f t="shared" si="14"/>
        <v>0</v>
      </c>
      <c r="N134" s="1018"/>
      <c r="O134" s="1073">
        <f t="shared" si="15"/>
        <v>0</v>
      </c>
      <c r="P134" s="1018"/>
      <c r="Q134" s="1073">
        <f t="shared" si="16"/>
        <v>0</v>
      </c>
      <c r="R134" s="1018"/>
      <c r="S134" s="1076" t="str">
        <f aca="true" t="shared" si="22" ref="S134:S142">IF(R134&gt;14.5,VLOOKUP(R134,tablita,2),"0")</f>
        <v>0</v>
      </c>
      <c r="T134" s="1073">
        <f t="shared" si="17"/>
        <v>0</v>
      </c>
      <c r="U134" s="1073">
        <f t="shared" si="18"/>
        <v>0</v>
      </c>
      <c r="V134" s="1073">
        <f t="shared" si="19"/>
        <v>0</v>
      </c>
      <c r="W134" s="1020"/>
      <c r="X134" s="1020"/>
      <c r="Y134" s="1017"/>
      <c r="Z134" s="1073">
        <f t="shared" si="20"/>
        <v>0</v>
      </c>
      <c r="AA134" s="1017"/>
      <c r="AB134" s="1018"/>
      <c r="AC134" s="1018"/>
      <c r="AD134" s="1017"/>
    </row>
    <row r="135" spans="1:30" ht="12.75">
      <c r="A135" s="1016"/>
      <c r="B135" s="1017"/>
      <c r="C135" s="1017"/>
      <c r="D135" s="1021">
        <f aca="true" t="shared" si="23" ref="D135:D142">C135*$E$3</f>
        <v>0</v>
      </c>
      <c r="E135" s="1021">
        <f aca="true" t="shared" si="24" ref="E135:E142">C135-D135</f>
        <v>0</v>
      </c>
      <c r="F135" s="1017"/>
      <c r="G135" s="1017"/>
      <c r="H135" s="159"/>
      <c r="I135" s="1017"/>
      <c r="J135" s="1017"/>
      <c r="K135" s="1017"/>
      <c r="L135" s="1017"/>
      <c r="M135" s="1021">
        <f aca="true" t="shared" si="25" ref="M135:M142">E135-L135</f>
        <v>0</v>
      </c>
      <c r="N135" s="1018"/>
      <c r="O135" s="1073">
        <f aca="true" t="shared" si="26" ref="O135:O142">IF(N135&lt;3.01,(L135*(N135-1)*1%),(L135*(N135-3)*1.5%))</f>
        <v>0</v>
      </c>
      <c r="P135" s="1018"/>
      <c r="Q135" s="1073">
        <f aca="true" t="shared" si="27" ref="Q135:Q142">IF(P135&lt;25.01,(L135*(P135-20)*0.25%),(L135*(P135-25)*0.5%))</f>
        <v>0</v>
      </c>
      <c r="R135" s="1018"/>
      <c r="S135" s="1076" t="str">
        <f t="shared" si="22"/>
        <v>0</v>
      </c>
      <c r="T135" s="1073">
        <f aca="true" t="shared" si="28" ref="T135:T142">L135*S135/100</f>
        <v>0</v>
      </c>
      <c r="U135" s="1073">
        <f aca="true" t="shared" si="29" ref="U135:U142">O135+Q135+T135</f>
        <v>0</v>
      </c>
      <c r="V135" s="1073">
        <f aca="true" t="shared" si="30" ref="V135:V142">L135-U135</f>
        <v>0</v>
      </c>
      <c r="W135" s="1020"/>
      <c r="X135" s="1020"/>
      <c r="Y135" s="1017"/>
      <c r="Z135" s="1073">
        <f aca="true" t="shared" si="31" ref="Z135:Z142">L135*Y135/1000</f>
        <v>0</v>
      </c>
      <c r="AA135" s="1017"/>
      <c r="AB135" s="1018"/>
      <c r="AC135" s="1018"/>
      <c r="AD135" s="1017"/>
    </row>
    <row r="136" spans="1:30" ht="12.75">
      <c r="A136" s="1016"/>
      <c r="B136" s="1017"/>
      <c r="C136" s="1017"/>
      <c r="D136" s="1021">
        <f t="shared" si="23"/>
        <v>0</v>
      </c>
      <c r="E136" s="1021">
        <f t="shared" si="24"/>
        <v>0</v>
      </c>
      <c r="F136" s="1017"/>
      <c r="G136" s="1017"/>
      <c r="H136" s="159"/>
      <c r="I136" s="1017"/>
      <c r="J136" s="1017"/>
      <c r="K136" s="1017"/>
      <c r="L136" s="1017"/>
      <c r="M136" s="1021">
        <f t="shared" si="25"/>
        <v>0</v>
      </c>
      <c r="N136" s="1018"/>
      <c r="O136" s="1073">
        <f t="shared" si="26"/>
        <v>0</v>
      </c>
      <c r="P136" s="1018"/>
      <c r="Q136" s="1073">
        <f t="shared" si="27"/>
        <v>0</v>
      </c>
      <c r="R136" s="1018"/>
      <c r="S136" s="1076" t="str">
        <f t="shared" si="22"/>
        <v>0</v>
      </c>
      <c r="T136" s="1073">
        <f t="shared" si="28"/>
        <v>0</v>
      </c>
      <c r="U136" s="1073">
        <f t="shared" si="29"/>
        <v>0</v>
      </c>
      <c r="V136" s="1073">
        <f t="shared" si="30"/>
        <v>0</v>
      </c>
      <c r="W136" s="1020"/>
      <c r="X136" s="1020"/>
      <c r="Y136" s="1017"/>
      <c r="Z136" s="1073">
        <f t="shared" si="31"/>
        <v>0</v>
      </c>
      <c r="AA136" s="1017"/>
      <c r="AB136" s="1018"/>
      <c r="AC136" s="1018"/>
      <c r="AD136" s="1017"/>
    </row>
    <row r="137" spans="1:30" ht="12.75">
      <c r="A137" s="1016"/>
      <c r="B137" s="1017"/>
      <c r="C137" s="1017"/>
      <c r="D137" s="1021">
        <f t="shared" si="23"/>
        <v>0</v>
      </c>
      <c r="E137" s="1021">
        <f t="shared" si="24"/>
        <v>0</v>
      </c>
      <c r="F137" s="1017"/>
      <c r="G137" s="1017"/>
      <c r="H137" s="159"/>
      <c r="I137" s="1017"/>
      <c r="J137" s="1017"/>
      <c r="K137" s="1017"/>
      <c r="L137" s="1017"/>
      <c r="M137" s="1021">
        <f t="shared" si="25"/>
        <v>0</v>
      </c>
      <c r="N137" s="1018"/>
      <c r="O137" s="1073">
        <f t="shared" si="26"/>
        <v>0</v>
      </c>
      <c r="P137" s="1018"/>
      <c r="Q137" s="1073">
        <f t="shared" si="27"/>
        <v>0</v>
      </c>
      <c r="R137" s="1018"/>
      <c r="S137" s="1076" t="str">
        <f t="shared" si="22"/>
        <v>0</v>
      </c>
      <c r="T137" s="1073">
        <f t="shared" si="28"/>
        <v>0</v>
      </c>
      <c r="U137" s="1073">
        <f t="shared" si="29"/>
        <v>0</v>
      </c>
      <c r="V137" s="1073">
        <f t="shared" si="30"/>
        <v>0</v>
      </c>
      <c r="W137" s="1020"/>
      <c r="X137" s="1020"/>
      <c r="Y137" s="1017"/>
      <c r="Z137" s="1073">
        <f t="shared" si="31"/>
        <v>0</v>
      </c>
      <c r="AA137" s="1017"/>
      <c r="AB137" s="1018"/>
      <c r="AC137" s="1018"/>
      <c r="AD137" s="1017"/>
    </row>
    <row r="138" spans="1:30" ht="12.75">
      <c r="A138" s="1016"/>
      <c r="B138" s="1017"/>
      <c r="C138" s="1017"/>
      <c r="D138" s="1021">
        <f t="shared" si="23"/>
        <v>0</v>
      </c>
      <c r="E138" s="1021">
        <f t="shared" si="24"/>
        <v>0</v>
      </c>
      <c r="F138" s="1017"/>
      <c r="G138" s="1017"/>
      <c r="H138" s="159"/>
      <c r="I138" s="1017"/>
      <c r="J138" s="1017"/>
      <c r="K138" s="1017"/>
      <c r="L138" s="1017"/>
      <c r="M138" s="1021">
        <f t="shared" si="25"/>
        <v>0</v>
      </c>
      <c r="N138" s="1018"/>
      <c r="O138" s="1073">
        <f t="shared" si="26"/>
        <v>0</v>
      </c>
      <c r="P138" s="1018"/>
      <c r="Q138" s="1073">
        <f t="shared" si="27"/>
        <v>0</v>
      </c>
      <c r="R138" s="1018"/>
      <c r="S138" s="1076" t="str">
        <f t="shared" si="22"/>
        <v>0</v>
      </c>
      <c r="T138" s="1073">
        <f t="shared" si="28"/>
        <v>0</v>
      </c>
      <c r="U138" s="1073">
        <f t="shared" si="29"/>
        <v>0</v>
      </c>
      <c r="V138" s="1073">
        <f t="shared" si="30"/>
        <v>0</v>
      </c>
      <c r="W138" s="1020"/>
      <c r="X138" s="1020"/>
      <c r="Y138" s="1017"/>
      <c r="Z138" s="1073">
        <f t="shared" si="31"/>
        <v>0</v>
      </c>
      <c r="AA138" s="1017"/>
      <c r="AB138" s="1018"/>
      <c r="AC138" s="1018"/>
      <c r="AD138" s="1017"/>
    </row>
    <row r="139" spans="1:30" ht="12.75">
      <c r="A139" s="33"/>
      <c r="B139" s="33"/>
      <c r="C139" s="33"/>
      <c r="D139" s="1021">
        <f t="shared" si="23"/>
        <v>0</v>
      </c>
      <c r="E139" s="1021">
        <f t="shared" si="24"/>
        <v>0</v>
      </c>
      <c r="F139" s="33"/>
      <c r="G139" s="33"/>
      <c r="H139" s="33"/>
      <c r="I139" s="33"/>
      <c r="J139" s="33"/>
      <c r="K139" s="33"/>
      <c r="L139" s="33"/>
      <c r="M139" s="1021">
        <f t="shared" si="25"/>
        <v>0</v>
      </c>
      <c r="N139" s="33"/>
      <c r="O139" s="1073">
        <f t="shared" si="26"/>
        <v>0</v>
      </c>
      <c r="P139" s="33"/>
      <c r="Q139" s="1073">
        <f t="shared" si="27"/>
        <v>0</v>
      </c>
      <c r="R139" s="33"/>
      <c r="S139" s="1076" t="str">
        <f t="shared" si="22"/>
        <v>0</v>
      </c>
      <c r="T139" s="1073">
        <f t="shared" si="28"/>
        <v>0</v>
      </c>
      <c r="U139" s="1073">
        <f t="shared" si="29"/>
        <v>0</v>
      </c>
      <c r="V139" s="1073">
        <f t="shared" si="30"/>
        <v>0</v>
      </c>
      <c r="W139" s="33"/>
      <c r="X139" s="33"/>
      <c r="Y139" s="33"/>
      <c r="Z139" s="1073">
        <f t="shared" si="31"/>
        <v>0</v>
      </c>
      <c r="AA139" s="33"/>
      <c r="AB139" s="33"/>
      <c r="AC139" s="33"/>
      <c r="AD139" s="33"/>
    </row>
    <row r="140" spans="1:30" ht="12.75">
      <c r="A140" s="33"/>
      <c r="B140" s="33"/>
      <c r="C140" s="33"/>
      <c r="D140" s="1021">
        <f t="shared" si="23"/>
        <v>0</v>
      </c>
      <c r="E140" s="1021">
        <f t="shared" si="24"/>
        <v>0</v>
      </c>
      <c r="F140" s="33"/>
      <c r="G140" s="33"/>
      <c r="H140" s="33"/>
      <c r="I140" s="33"/>
      <c r="J140" s="33"/>
      <c r="K140" s="33"/>
      <c r="L140" s="33"/>
      <c r="M140" s="1021">
        <f t="shared" si="25"/>
        <v>0</v>
      </c>
      <c r="N140" s="33"/>
      <c r="O140" s="1073">
        <f t="shared" si="26"/>
        <v>0</v>
      </c>
      <c r="P140" s="33"/>
      <c r="Q140" s="1073">
        <f t="shared" si="27"/>
        <v>0</v>
      </c>
      <c r="R140" s="33"/>
      <c r="S140" s="1076" t="str">
        <f t="shared" si="22"/>
        <v>0</v>
      </c>
      <c r="T140" s="1073">
        <f t="shared" si="28"/>
        <v>0</v>
      </c>
      <c r="U140" s="1073">
        <f t="shared" si="29"/>
        <v>0</v>
      </c>
      <c r="V140" s="1073">
        <f t="shared" si="30"/>
        <v>0</v>
      </c>
      <c r="W140" s="33"/>
      <c r="X140" s="33"/>
      <c r="Y140" s="33"/>
      <c r="Z140" s="1073">
        <f t="shared" si="31"/>
        <v>0</v>
      </c>
      <c r="AA140" s="33"/>
      <c r="AB140" s="33"/>
      <c r="AC140" s="33"/>
      <c r="AD140" s="33"/>
    </row>
    <row r="141" spans="1:30" ht="12.75">
      <c r="A141" s="33"/>
      <c r="B141" s="33"/>
      <c r="C141" s="33"/>
      <c r="D141" s="1021">
        <f t="shared" si="23"/>
        <v>0</v>
      </c>
      <c r="E141" s="1021">
        <f t="shared" si="24"/>
        <v>0</v>
      </c>
      <c r="F141" s="33"/>
      <c r="G141" s="33"/>
      <c r="H141" s="33"/>
      <c r="I141" s="33"/>
      <c r="J141" s="33"/>
      <c r="K141" s="33"/>
      <c r="L141" s="33"/>
      <c r="M141" s="1021">
        <f t="shared" si="25"/>
        <v>0</v>
      </c>
      <c r="N141" s="33"/>
      <c r="O141" s="1073">
        <f t="shared" si="26"/>
        <v>0</v>
      </c>
      <c r="P141" s="33"/>
      <c r="Q141" s="1073">
        <f t="shared" si="27"/>
        <v>0</v>
      </c>
      <c r="R141" s="33"/>
      <c r="S141" s="1076" t="str">
        <f t="shared" si="22"/>
        <v>0</v>
      </c>
      <c r="T141" s="1073">
        <f t="shared" si="28"/>
        <v>0</v>
      </c>
      <c r="U141" s="1073">
        <f t="shared" si="29"/>
        <v>0</v>
      </c>
      <c r="V141" s="1073">
        <f t="shared" si="30"/>
        <v>0</v>
      </c>
      <c r="W141" s="33"/>
      <c r="X141" s="33"/>
      <c r="Y141" s="33"/>
      <c r="Z141" s="1073">
        <f t="shared" si="31"/>
        <v>0</v>
      </c>
      <c r="AA141" s="33"/>
      <c r="AB141" s="33"/>
      <c r="AC141" s="33"/>
      <c r="AD141" s="33"/>
    </row>
    <row r="142" spans="1:30" ht="12.75">
      <c r="A142" s="33"/>
      <c r="B142" s="33"/>
      <c r="C142" s="33"/>
      <c r="D142" s="1021">
        <f t="shared" si="23"/>
        <v>0</v>
      </c>
      <c r="E142" s="1021">
        <f t="shared" si="24"/>
        <v>0</v>
      </c>
      <c r="F142" s="33"/>
      <c r="G142" s="33"/>
      <c r="H142" s="33"/>
      <c r="I142" s="33"/>
      <c r="J142" s="33"/>
      <c r="K142" s="33"/>
      <c r="L142" s="33"/>
      <c r="M142" s="1021">
        <f t="shared" si="25"/>
        <v>0</v>
      </c>
      <c r="N142" s="33"/>
      <c r="O142" s="1073">
        <f t="shared" si="26"/>
        <v>0</v>
      </c>
      <c r="P142" s="33"/>
      <c r="Q142" s="1073">
        <f t="shared" si="27"/>
        <v>0</v>
      </c>
      <c r="R142" s="33"/>
      <c r="S142" s="1076" t="str">
        <f t="shared" si="22"/>
        <v>0</v>
      </c>
      <c r="T142" s="1073">
        <f t="shared" si="28"/>
        <v>0</v>
      </c>
      <c r="U142" s="1073">
        <f t="shared" si="29"/>
        <v>0</v>
      </c>
      <c r="V142" s="1073">
        <f t="shared" si="30"/>
        <v>0</v>
      </c>
      <c r="W142" s="33"/>
      <c r="X142" s="33"/>
      <c r="Y142" s="33"/>
      <c r="Z142" s="1073">
        <f t="shared" si="31"/>
        <v>0</v>
      </c>
      <c r="AA142" s="33"/>
      <c r="AB142" s="33"/>
      <c r="AC142" s="33"/>
      <c r="AD142" s="33"/>
    </row>
    <row r="150" ht="12.75">
      <c r="P150" s="527"/>
    </row>
    <row r="151" ht="12.75">
      <c r="P151" s="527"/>
    </row>
  </sheetData>
  <sheetProtection/>
  <mergeCells count="21">
    <mergeCell ref="E4:E5"/>
    <mergeCell ref="H4:H5"/>
    <mergeCell ref="V3:V5"/>
    <mergeCell ref="I4:I5"/>
    <mergeCell ref="J4:J5"/>
    <mergeCell ref="U3:U5"/>
    <mergeCell ref="Y4:Z4"/>
    <mergeCell ref="AA4:AA5"/>
    <mergeCell ref="L4:L5"/>
    <mergeCell ref="F4:F5"/>
    <mergeCell ref="I3:K3"/>
    <mergeCell ref="N3:T3"/>
    <mergeCell ref="A4:A5"/>
    <mergeCell ref="C4:C5"/>
    <mergeCell ref="D4:D5"/>
    <mergeCell ref="B4:B5"/>
    <mergeCell ref="AD4:AD5"/>
    <mergeCell ref="G4:G5"/>
    <mergeCell ref="M4:M5"/>
    <mergeCell ref="N4:O4"/>
    <mergeCell ref="P4:Q4"/>
  </mergeCells>
  <printOptions/>
  <pageMargins left="0.75" right="0.75" top="1" bottom="1" header="0" footer="0"/>
  <pageSetup horizontalDpi="120" verticalDpi="120" orientation="portrait" paperSize="9" r:id="rId3"/>
  <legacyDrawing r:id="rId2"/>
</worksheet>
</file>

<file path=xl/worksheets/sheet28.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I8" sqref="I8"/>
    </sheetView>
  </sheetViews>
  <sheetFormatPr defaultColWidth="11.421875" defaultRowHeight="12.75"/>
  <cols>
    <col min="1" max="1" width="10.28125" style="0" customWidth="1"/>
    <col min="2" max="2" width="10.140625" style="0" customWidth="1"/>
    <col min="3" max="3" width="9.7109375" style="0" customWidth="1"/>
    <col min="4" max="4" width="8.8515625" style="0" customWidth="1"/>
    <col min="5" max="5" width="9.7109375" style="0" customWidth="1"/>
    <col min="6" max="7" width="10.00390625" style="0" customWidth="1"/>
    <col min="8" max="8" width="10.57421875" style="0" customWidth="1"/>
  </cols>
  <sheetData>
    <row r="1" spans="1:8" ht="12.75">
      <c r="A1" s="1056"/>
      <c r="B1" s="1056"/>
      <c r="C1" s="1056"/>
      <c r="D1" s="1056"/>
      <c r="E1" s="1056"/>
      <c r="F1" s="1056"/>
      <c r="G1" s="1056"/>
      <c r="H1" s="1056"/>
    </row>
    <row r="2" spans="1:8" ht="15.75">
      <c r="A2" s="1252" t="s">
        <v>411</v>
      </c>
      <c r="B2" s="1252"/>
      <c r="C2" s="1252"/>
      <c r="D2" s="1252"/>
      <c r="E2" s="1252"/>
      <c r="F2" s="1252"/>
      <c r="G2" s="1252"/>
      <c r="H2" s="1252"/>
    </row>
    <row r="3" spans="1:8" ht="13.5" thickBot="1">
      <c r="A3" s="1056"/>
      <c r="B3" s="1056"/>
      <c r="C3" s="1056"/>
      <c r="D3" s="1056"/>
      <c r="E3" s="1056"/>
      <c r="F3" s="1056"/>
      <c r="G3" s="1056"/>
      <c r="H3" s="1056"/>
    </row>
    <row r="4" spans="1:8" ht="12.75">
      <c r="A4" s="1001" t="s">
        <v>735</v>
      </c>
      <c r="B4" s="1026" t="s">
        <v>735</v>
      </c>
      <c r="C4" s="1001" t="s">
        <v>735</v>
      </c>
      <c r="D4" s="1002" t="s">
        <v>735</v>
      </c>
      <c r="E4" s="1026" t="s">
        <v>735</v>
      </c>
      <c r="F4" s="1002" t="s">
        <v>735</v>
      </c>
      <c r="G4" s="1026" t="s">
        <v>735</v>
      </c>
      <c r="H4" s="1002" t="s">
        <v>735</v>
      </c>
    </row>
    <row r="5" spans="1:8" ht="12.75">
      <c r="A5" s="1024" t="s">
        <v>413</v>
      </c>
      <c r="B5" s="1055" t="s">
        <v>414</v>
      </c>
      <c r="C5" s="1024" t="s">
        <v>413</v>
      </c>
      <c r="D5" s="1025" t="s">
        <v>414</v>
      </c>
      <c r="E5" s="1055" t="s">
        <v>413</v>
      </c>
      <c r="F5" s="1025" t="s">
        <v>414</v>
      </c>
      <c r="G5" s="1055" t="s">
        <v>413</v>
      </c>
      <c r="H5" s="1025" t="s">
        <v>414</v>
      </c>
    </row>
    <row r="6" spans="1:8" ht="12.75">
      <c r="A6" s="1037">
        <v>14.6</v>
      </c>
      <c r="B6" s="34">
        <v>1.27</v>
      </c>
      <c r="C6" s="1037">
        <v>17.3</v>
      </c>
      <c r="D6" s="34">
        <f>B32+$D$37</f>
        <v>4.427894736842098</v>
      </c>
      <c r="E6" s="1037">
        <v>20</v>
      </c>
      <c r="F6" s="34">
        <f>D32+D37</f>
        <v>7.585789473684197</v>
      </c>
      <c r="G6" s="1037">
        <v>22.7</v>
      </c>
      <c r="H6" s="34">
        <f>F32+D37</f>
        <v>10.743684210526295</v>
      </c>
    </row>
    <row r="7" spans="1:8" ht="12.75">
      <c r="A7" s="1037">
        <v>14.7</v>
      </c>
      <c r="B7" s="34">
        <f>B6+$D$37</f>
        <v>1.386959064327485</v>
      </c>
      <c r="C7" s="1037">
        <v>17.4</v>
      </c>
      <c r="D7" s="34">
        <f>D6+$D$37</f>
        <v>4.544853801169583</v>
      </c>
      <c r="E7" s="1037">
        <v>20.1</v>
      </c>
      <c r="F7" s="34">
        <f>F6+$D$37</f>
        <v>7.702748538011682</v>
      </c>
      <c r="G7" s="1037">
        <v>22.8</v>
      </c>
      <c r="H7" s="34">
        <f>H6+$D$37</f>
        <v>10.86064327485378</v>
      </c>
    </row>
    <row r="8" spans="1:8" ht="12.75">
      <c r="A8" s="1037">
        <v>14.8</v>
      </c>
      <c r="B8" s="34">
        <f>B7+$D$37</f>
        <v>1.5039181286549699</v>
      </c>
      <c r="C8" s="1037">
        <v>17.5</v>
      </c>
      <c r="D8" s="34">
        <f aca="true" t="shared" si="0" ref="D8:D32">D7+$D$37</f>
        <v>4.661812865497068</v>
      </c>
      <c r="E8" s="1037">
        <v>20.2</v>
      </c>
      <c r="F8" s="34">
        <f aca="true" t="shared" si="1" ref="F8:F32">F7+$D$37</f>
        <v>7.819707602339167</v>
      </c>
      <c r="G8" s="1037">
        <v>22.9</v>
      </c>
      <c r="H8" s="34">
        <f aca="true" t="shared" si="2" ref="H8:H29">H7+$D$37</f>
        <v>10.977602339181265</v>
      </c>
    </row>
    <row r="9" spans="1:8" ht="12.75">
      <c r="A9" s="1037">
        <v>14.9</v>
      </c>
      <c r="B9" s="34">
        <f aca="true" t="shared" si="3" ref="B9:B32">B8+$D$37</f>
        <v>1.6208771929824548</v>
      </c>
      <c r="C9" s="1037">
        <v>17.6</v>
      </c>
      <c r="D9" s="34">
        <f t="shared" si="0"/>
        <v>4.778771929824553</v>
      </c>
      <c r="E9" s="1037">
        <v>20.3</v>
      </c>
      <c r="F9" s="34">
        <f t="shared" si="1"/>
        <v>7.936666666666652</v>
      </c>
      <c r="G9" s="1037">
        <v>23</v>
      </c>
      <c r="H9" s="34">
        <f t="shared" si="2"/>
        <v>11.09456140350875</v>
      </c>
    </row>
    <row r="10" spans="1:8" ht="12.75">
      <c r="A10" s="1037">
        <v>15</v>
      </c>
      <c r="B10" s="34">
        <f t="shared" si="3"/>
        <v>1.7378362573099397</v>
      </c>
      <c r="C10" s="1037">
        <v>17.7</v>
      </c>
      <c r="D10" s="34">
        <f t="shared" si="0"/>
        <v>4.895730994152038</v>
      </c>
      <c r="E10" s="1037">
        <v>20.4</v>
      </c>
      <c r="F10" s="34">
        <f t="shared" si="1"/>
        <v>8.053625730994137</v>
      </c>
      <c r="G10" s="1037">
        <v>23.1</v>
      </c>
      <c r="H10" s="34">
        <f t="shared" si="2"/>
        <v>11.211520467836236</v>
      </c>
    </row>
    <row r="11" spans="1:8" ht="12.75">
      <c r="A11" s="1037">
        <v>15.1</v>
      </c>
      <c r="B11" s="34">
        <f t="shared" si="3"/>
        <v>1.8547953216374247</v>
      </c>
      <c r="C11" s="1037">
        <v>17.8</v>
      </c>
      <c r="D11" s="34">
        <f t="shared" si="0"/>
        <v>5.0126900584795235</v>
      </c>
      <c r="E11" s="1037">
        <v>20.5</v>
      </c>
      <c r="F11" s="34">
        <f t="shared" si="1"/>
        <v>8.170584795321622</v>
      </c>
      <c r="G11" s="1037">
        <v>23.2</v>
      </c>
      <c r="H11" s="34">
        <f t="shared" si="2"/>
        <v>11.32847953216372</v>
      </c>
    </row>
    <row r="12" spans="1:8" ht="12.75">
      <c r="A12" s="1037">
        <v>15.2</v>
      </c>
      <c r="B12" s="34">
        <f t="shared" si="3"/>
        <v>1.9717543859649096</v>
      </c>
      <c r="C12" s="1037">
        <v>17.9</v>
      </c>
      <c r="D12" s="34">
        <f t="shared" si="0"/>
        <v>5.129649122807009</v>
      </c>
      <c r="E12" s="1037">
        <v>20.6</v>
      </c>
      <c r="F12" s="34">
        <f t="shared" si="1"/>
        <v>8.287543859649107</v>
      </c>
      <c r="G12" s="1037">
        <v>23.3</v>
      </c>
      <c r="H12" s="34">
        <f t="shared" si="2"/>
        <v>11.445438596491206</v>
      </c>
    </row>
    <row r="13" spans="1:8" ht="12.75">
      <c r="A13" s="1037">
        <v>15.3</v>
      </c>
      <c r="B13" s="34">
        <f t="shared" si="3"/>
        <v>2.0887134502923947</v>
      </c>
      <c r="C13" s="1037">
        <v>18</v>
      </c>
      <c r="D13" s="34">
        <f t="shared" si="0"/>
        <v>5.246608187134494</v>
      </c>
      <c r="E13" s="1037">
        <v>20.7</v>
      </c>
      <c r="F13" s="34">
        <f t="shared" si="1"/>
        <v>8.404502923976592</v>
      </c>
      <c r="G13" s="1037">
        <v>23.4</v>
      </c>
      <c r="H13" s="34">
        <f t="shared" si="2"/>
        <v>11.562397660818691</v>
      </c>
    </row>
    <row r="14" spans="1:8" ht="12.75">
      <c r="A14" s="1037">
        <v>15.4</v>
      </c>
      <c r="B14" s="34">
        <f t="shared" si="3"/>
        <v>2.20567251461988</v>
      </c>
      <c r="C14" s="1037">
        <v>18.1</v>
      </c>
      <c r="D14" s="34">
        <f t="shared" si="0"/>
        <v>5.363567251461979</v>
      </c>
      <c r="E14" s="1037">
        <v>20.8</v>
      </c>
      <c r="F14" s="34">
        <f t="shared" si="1"/>
        <v>8.521461988304077</v>
      </c>
      <c r="G14" s="1037">
        <v>23.5</v>
      </c>
      <c r="H14" s="34">
        <f t="shared" si="2"/>
        <v>11.679356725146176</v>
      </c>
    </row>
    <row r="15" spans="1:8" ht="12.75">
      <c r="A15" s="1037">
        <v>15.5</v>
      </c>
      <c r="B15" s="34">
        <f t="shared" si="3"/>
        <v>2.322631578947365</v>
      </c>
      <c r="C15" s="1037">
        <v>18.2</v>
      </c>
      <c r="D15" s="34">
        <f t="shared" si="0"/>
        <v>5.480526315789464</v>
      </c>
      <c r="E15" s="1037">
        <v>20.9</v>
      </c>
      <c r="F15" s="34">
        <f t="shared" si="1"/>
        <v>8.638421052631562</v>
      </c>
      <c r="G15" s="1037">
        <v>23.6</v>
      </c>
      <c r="H15" s="34">
        <f t="shared" si="2"/>
        <v>11.796315789473661</v>
      </c>
    </row>
    <row r="16" spans="1:8" ht="12.75">
      <c r="A16" s="1037">
        <v>15.6</v>
      </c>
      <c r="B16" s="34">
        <f t="shared" si="3"/>
        <v>2.43959064327485</v>
      </c>
      <c r="C16" s="1037">
        <v>18.3</v>
      </c>
      <c r="D16" s="34">
        <f t="shared" si="0"/>
        <v>5.597485380116949</v>
      </c>
      <c r="E16" s="1037">
        <v>21</v>
      </c>
      <c r="F16" s="34">
        <f t="shared" si="1"/>
        <v>8.755380116959047</v>
      </c>
      <c r="G16" s="1037">
        <v>23.7</v>
      </c>
      <c r="H16" s="34">
        <f t="shared" si="2"/>
        <v>11.913274853801147</v>
      </c>
    </row>
    <row r="17" spans="1:8" ht="12.75">
      <c r="A17" s="1037">
        <v>15.7</v>
      </c>
      <c r="B17" s="34">
        <f t="shared" si="3"/>
        <v>2.5565497076023354</v>
      </c>
      <c r="C17" s="1037">
        <v>18.4</v>
      </c>
      <c r="D17" s="34">
        <f t="shared" si="0"/>
        <v>5.7144444444444344</v>
      </c>
      <c r="E17" s="1037">
        <v>21.1</v>
      </c>
      <c r="F17" s="34">
        <f t="shared" si="1"/>
        <v>8.872339181286533</v>
      </c>
      <c r="G17" s="1037">
        <v>23.8</v>
      </c>
      <c r="H17" s="34">
        <f t="shared" si="2"/>
        <v>12.030233918128632</v>
      </c>
    </row>
    <row r="18" spans="1:8" ht="12.75">
      <c r="A18" s="1037">
        <v>15.8</v>
      </c>
      <c r="B18" s="34">
        <f t="shared" si="3"/>
        <v>2.6735087719298205</v>
      </c>
      <c r="C18" s="1037">
        <v>18.5</v>
      </c>
      <c r="D18" s="34">
        <f t="shared" si="0"/>
        <v>5.83140350877192</v>
      </c>
      <c r="E18" s="1037">
        <v>21.2</v>
      </c>
      <c r="F18" s="34">
        <f t="shared" si="1"/>
        <v>8.989298245614018</v>
      </c>
      <c r="G18" s="1037">
        <v>23.9</v>
      </c>
      <c r="H18" s="34">
        <f t="shared" si="2"/>
        <v>12.147192982456117</v>
      </c>
    </row>
    <row r="19" spans="1:8" ht="12.75">
      <c r="A19" s="1037">
        <v>15.9</v>
      </c>
      <c r="B19" s="34">
        <f t="shared" si="3"/>
        <v>2.7904678362573057</v>
      </c>
      <c r="C19" s="1037">
        <v>18.6</v>
      </c>
      <c r="D19" s="34">
        <f t="shared" si="0"/>
        <v>5.948362573099405</v>
      </c>
      <c r="E19" s="1037">
        <v>21.3</v>
      </c>
      <c r="F19" s="34">
        <f t="shared" si="1"/>
        <v>9.106257309941503</v>
      </c>
      <c r="G19" s="1037">
        <v>24</v>
      </c>
      <c r="H19" s="34">
        <f t="shared" si="2"/>
        <v>12.264152046783602</v>
      </c>
    </row>
    <row r="20" spans="1:8" ht="12.75">
      <c r="A20" s="1037">
        <v>16</v>
      </c>
      <c r="B20" s="34">
        <f t="shared" si="3"/>
        <v>2.907426900584791</v>
      </c>
      <c r="C20" s="1037">
        <v>18.7</v>
      </c>
      <c r="D20" s="34">
        <f t="shared" si="0"/>
        <v>6.06532163742689</v>
      </c>
      <c r="E20" s="1037">
        <v>21.4</v>
      </c>
      <c r="F20" s="34">
        <f t="shared" si="1"/>
        <v>9.223216374268988</v>
      </c>
      <c r="G20" s="1037">
        <v>24.1</v>
      </c>
      <c r="H20" s="34">
        <f t="shared" si="2"/>
        <v>12.381111111111087</v>
      </c>
    </row>
    <row r="21" spans="1:8" ht="12.75">
      <c r="A21" s="1037">
        <v>16.1</v>
      </c>
      <c r="B21" s="34">
        <f t="shared" si="3"/>
        <v>3.024385964912276</v>
      </c>
      <c r="C21" s="1037">
        <v>18.8</v>
      </c>
      <c r="D21" s="34">
        <f t="shared" si="0"/>
        <v>6.182280701754375</v>
      </c>
      <c r="E21" s="1037">
        <v>21.5</v>
      </c>
      <c r="F21" s="34">
        <f t="shared" si="1"/>
        <v>9.340175438596473</v>
      </c>
      <c r="G21" s="1037">
        <v>24.2</v>
      </c>
      <c r="H21" s="34">
        <f t="shared" si="2"/>
        <v>12.498070175438572</v>
      </c>
    </row>
    <row r="22" spans="1:8" ht="12.75">
      <c r="A22" s="1037">
        <v>16.2</v>
      </c>
      <c r="B22" s="34">
        <f t="shared" si="3"/>
        <v>3.141345029239761</v>
      </c>
      <c r="C22" s="1037">
        <v>18.9</v>
      </c>
      <c r="D22" s="34">
        <f t="shared" si="0"/>
        <v>6.29923976608186</v>
      </c>
      <c r="E22" s="1037">
        <v>21.6</v>
      </c>
      <c r="F22" s="34">
        <f t="shared" si="1"/>
        <v>9.457134502923958</v>
      </c>
      <c r="G22" s="1037">
        <v>24.3</v>
      </c>
      <c r="H22" s="34">
        <f t="shared" si="2"/>
        <v>12.615029239766058</v>
      </c>
    </row>
    <row r="23" spans="1:8" ht="12.75">
      <c r="A23" s="1037">
        <v>16.3</v>
      </c>
      <c r="B23" s="34">
        <f t="shared" si="3"/>
        <v>3.2583040935672463</v>
      </c>
      <c r="C23" s="1037">
        <v>19</v>
      </c>
      <c r="D23" s="34">
        <f t="shared" si="0"/>
        <v>6.416198830409345</v>
      </c>
      <c r="E23" s="1037">
        <v>21.7</v>
      </c>
      <c r="F23" s="34">
        <f t="shared" si="1"/>
        <v>9.574093567251444</v>
      </c>
      <c r="G23" s="1037">
        <v>24.4</v>
      </c>
      <c r="H23" s="34">
        <f t="shared" si="2"/>
        <v>12.731988304093543</v>
      </c>
    </row>
    <row r="24" spans="1:8" ht="12.75">
      <c r="A24" s="1037">
        <v>16.4</v>
      </c>
      <c r="B24" s="34">
        <f t="shared" si="3"/>
        <v>3.3752631578947314</v>
      </c>
      <c r="C24" s="1037">
        <v>19.1</v>
      </c>
      <c r="D24" s="34">
        <f t="shared" si="0"/>
        <v>6.5331578947368305</v>
      </c>
      <c r="E24" s="1037">
        <v>21.8</v>
      </c>
      <c r="F24" s="34">
        <f t="shared" si="1"/>
        <v>9.691052631578929</v>
      </c>
      <c r="G24" s="1037">
        <v>24.5</v>
      </c>
      <c r="H24" s="34">
        <f t="shared" si="2"/>
        <v>12.848947368421028</v>
      </c>
    </row>
    <row r="25" spans="1:8" ht="12.75">
      <c r="A25" s="1037">
        <v>16.5</v>
      </c>
      <c r="B25" s="34">
        <f t="shared" si="3"/>
        <v>3.4922222222222166</v>
      </c>
      <c r="C25" s="1037">
        <v>19.2</v>
      </c>
      <c r="D25" s="34">
        <f t="shared" si="0"/>
        <v>6.650116959064316</v>
      </c>
      <c r="E25" s="1037">
        <v>21.9</v>
      </c>
      <c r="F25" s="34">
        <f t="shared" si="1"/>
        <v>9.808011695906414</v>
      </c>
      <c r="G25" s="1037">
        <v>24.6</v>
      </c>
      <c r="H25" s="34">
        <f t="shared" si="2"/>
        <v>12.965906432748513</v>
      </c>
    </row>
    <row r="26" spans="1:8" ht="12.75">
      <c r="A26" s="1037">
        <v>16.6</v>
      </c>
      <c r="B26" s="34">
        <f t="shared" si="3"/>
        <v>3.6091812865497017</v>
      </c>
      <c r="C26" s="1037">
        <v>19.3</v>
      </c>
      <c r="D26" s="34">
        <f t="shared" si="0"/>
        <v>6.767076023391801</v>
      </c>
      <c r="E26" s="1037">
        <v>22</v>
      </c>
      <c r="F26" s="34">
        <f t="shared" si="1"/>
        <v>9.924970760233899</v>
      </c>
      <c r="G26" s="1037">
        <v>24.7</v>
      </c>
      <c r="H26" s="34">
        <f t="shared" si="2"/>
        <v>13.082865497075998</v>
      </c>
    </row>
    <row r="27" spans="1:8" ht="12.75">
      <c r="A27" s="1037">
        <v>16.7</v>
      </c>
      <c r="B27" s="34">
        <f t="shared" si="3"/>
        <v>3.726140350877187</v>
      </c>
      <c r="C27" s="1037">
        <v>19.4</v>
      </c>
      <c r="D27" s="34">
        <f t="shared" si="0"/>
        <v>6.884035087719286</v>
      </c>
      <c r="E27" s="1037">
        <v>22.1</v>
      </c>
      <c r="F27" s="34">
        <f t="shared" si="1"/>
        <v>10.041929824561384</v>
      </c>
      <c r="G27" s="1037">
        <v>24.8</v>
      </c>
      <c r="H27" s="34">
        <f t="shared" si="2"/>
        <v>13.199824561403483</v>
      </c>
    </row>
    <row r="28" spans="1:8" ht="12.75">
      <c r="A28" s="1037">
        <v>16.8</v>
      </c>
      <c r="B28" s="34">
        <f t="shared" si="3"/>
        <v>3.843099415204672</v>
      </c>
      <c r="C28" s="1037">
        <v>19.5</v>
      </c>
      <c r="D28" s="34">
        <f t="shared" si="0"/>
        <v>7.000994152046771</v>
      </c>
      <c r="E28" s="1037">
        <v>22.2</v>
      </c>
      <c r="F28" s="34">
        <f t="shared" si="1"/>
        <v>10.15888888888887</v>
      </c>
      <c r="G28" s="1037">
        <v>24.9</v>
      </c>
      <c r="H28" s="34">
        <f t="shared" si="2"/>
        <v>13.316783625730968</v>
      </c>
    </row>
    <row r="29" spans="1:8" ht="12.75">
      <c r="A29" s="1037">
        <v>16.9</v>
      </c>
      <c r="B29" s="34">
        <f t="shared" si="3"/>
        <v>3.960058479532157</v>
      </c>
      <c r="C29" s="1037">
        <v>19.6</v>
      </c>
      <c r="D29" s="34">
        <f t="shared" si="0"/>
        <v>7.117953216374256</v>
      </c>
      <c r="E29" s="1037">
        <v>22.3</v>
      </c>
      <c r="F29" s="34">
        <f t="shared" si="1"/>
        <v>10.275847953216354</v>
      </c>
      <c r="G29" s="1037">
        <v>25</v>
      </c>
      <c r="H29" s="34">
        <f t="shared" si="2"/>
        <v>13.433742690058454</v>
      </c>
    </row>
    <row r="30" spans="1:8" ht="12.75">
      <c r="A30" s="1037">
        <v>17</v>
      </c>
      <c r="B30" s="34">
        <f t="shared" si="3"/>
        <v>4.077017543859642</v>
      </c>
      <c r="C30" s="1037">
        <v>19.7</v>
      </c>
      <c r="D30" s="34">
        <f t="shared" si="0"/>
        <v>7.234912280701741</v>
      </c>
      <c r="E30" s="1037">
        <v>22.4</v>
      </c>
      <c r="F30" s="34">
        <f t="shared" si="1"/>
        <v>10.39280701754384</v>
      </c>
      <c r="G30" s="33"/>
      <c r="H30" s="33"/>
    </row>
    <row r="31" spans="1:8" ht="12.75">
      <c r="A31" s="1037">
        <v>17.1</v>
      </c>
      <c r="B31" s="34">
        <f t="shared" si="3"/>
        <v>4.1939766081871275</v>
      </c>
      <c r="C31" s="1037">
        <v>19.8</v>
      </c>
      <c r="D31" s="34">
        <f t="shared" si="0"/>
        <v>7.351871345029227</v>
      </c>
      <c r="E31" s="1037">
        <v>22.5</v>
      </c>
      <c r="F31" s="34">
        <f t="shared" si="1"/>
        <v>10.509766081871325</v>
      </c>
      <c r="G31" s="33"/>
      <c r="H31" s="33"/>
    </row>
    <row r="32" spans="1:8" ht="12.75">
      <c r="A32" s="1037">
        <v>17.2</v>
      </c>
      <c r="B32" s="34">
        <f t="shared" si="3"/>
        <v>4.310935672514613</v>
      </c>
      <c r="C32" s="1037">
        <v>19.9</v>
      </c>
      <c r="D32" s="34">
        <f t="shared" si="0"/>
        <v>7.468830409356712</v>
      </c>
      <c r="E32" s="1037">
        <v>22.6</v>
      </c>
      <c r="F32" s="34">
        <f t="shared" si="1"/>
        <v>10.62672514619881</v>
      </c>
      <c r="G32" s="33"/>
      <c r="H32" s="33"/>
    </row>
    <row r="34" ht="12.75">
      <c r="A34" t="s">
        <v>415</v>
      </c>
    </row>
    <row r="35" ht="12.75">
      <c r="B35" t="s">
        <v>416</v>
      </c>
    </row>
    <row r="36" ht="12.75">
      <c r="C36" t="s">
        <v>417</v>
      </c>
    </row>
    <row r="37" spans="1:4" ht="12.75">
      <c r="A37" t="s">
        <v>418</v>
      </c>
      <c r="D37">
        <f>((14.6-14.5)/(100-14.5))*100</f>
        <v>0.11695906432748497</v>
      </c>
    </row>
    <row r="38" ht="12.75">
      <c r="A38" t="s">
        <v>420</v>
      </c>
    </row>
  </sheetData>
  <sheetProtection/>
  <mergeCells count="1">
    <mergeCell ref="A2:H2"/>
  </mergeCells>
  <printOptions/>
  <pageMargins left="0.75" right="0.75" top="1" bottom="1" header="0" footer="0"/>
  <pageSetup orientation="portrait" paperSize="9"/>
</worksheet>
</file>

<file path=xl/worksheets/sheet29.xml><?xml version="1.0" encoding="utf-8"?>
<worksheet xmlns="http://schemas.openxmlformats.org/spreadsheetml/2006/main" xmlns:r="http://schemas.openxmlformats.org/officeDocument/2006/relationships">
  <dimension ref="A2:E13"/>
  <sheetViews>
    <sheetView showGridLines="0" zoomScalePageLayoutView="0" workbookViewId="0" topLeftCell="A5">
      <selection activeCell="A6" sqref="A6"/>
    </sheetView>
  </sheetViews>
  <sheetFormatPr defaultColWidth="11.421875" defaultRowHeight="12.75"/>
  <cols>
    <col min="1" max="1" width="18.421875" style="0" customWidth="1"/>
    <col min="2" max="2" width="6.57421875" style="0" customWidth="1"/>
    <col min="3" max="3" width="11.7109375" style="0" customWidth="1"/>
    <col min="4" max="4" width="44.421875" style="0" customWidth="1"/>
    <col min="5" max="5" width="33.28125" style="0" customWidth="1"/>
  </cols>
  <sheetData>
    <row r="2" ht="13.5" thickBot="1">
      <c r="A2" s="25" t="s">
        <v>459</v>
      </c>
    </row>
    <row r="3" spans="1:5" ht="49.5" customHeight="1" thickBot="1">
      <c r="A3" s="1062" t="s">
        <v>421</v>
      </c>
      <c r="B3" s="1063" t="s">
        <v>422</v>
      </c>
      <c r="C3" s="1063" t="s">
        <v>433</v>
      </c>
      <c r="D3" s="1063" t="s">
        <v>434</v>
      </c>
      <c r="E3" s="1063" t="s">
        <v>435</v>
      </c>
    </row>
    <row r="4" spans="1:5" ht="27" customHeight="1" thickBot="1">
      <c r="A4" s="1061"/>
      <c r="B4" s="1061" t="s">
        <v>423</v>
      </c>
      <c r="C4" s="1061"/>
      <c r="D4" s="1061"/>
      <c r="E4" s="1061"/>
    </row>
    <row r="5" spans="1:5" ht="45.75" customHeight="1" thickBot="1">
      <c r="A5" s="1061" t="s">
        <v>436</v>
      </c>
      <c r="B5" s="1061">
        <v>1</v>
      </c>
      <c r="C5" s="1061">
        <v>3</v>
      </c>
      <c r="D5" s="1061" t="s">
        <v>437</v>
      </c>
      <c r="E5" s="1061"/>
    </row>
    <row r="6" spans="1:5" ht="30" customHeight="1" thickBot="1">
      <c r="A6" s="1061" t="s">
        <v>438</v>
      </c>
      <c r="B6" s="1061">
        <v>0.5</v>
      </c>
      <c r="C6" s="1061">
        <v>0.5</v>
      </c>
      <c r="D6" s="1061" t="s">
        <v>439</v>
      </c>
      <c r="E6" s="1061"/>
    </row>
    <row r="7" spans="1:5" ht="23.25" customHeight="1" thickBot="1">
      <c r="A7" s="1061" t="s">
        <v>440</v>
      </c>
      <c r="B7" s="1061" t="s">
        <v>441</v>
      </c>
      <c r="C7" s="1061">
        <v>5</v>
      </c>
      <c r="D7" s="1061" t="s">
        <v>442</v>
      </c>
      <c r="E7" s="1061"/>
    </row>
    <row r="8" spans="1:5" ht="74.25" customHeight="1" thickBot="1">
      <c r="A8" s="1061" t="s">
        <v>443</v>
      </c>
      <c r="B8" s="1061">
        <v>20</v>
      </c>
      <c r="C8" s="1061">
        <v>30</v>
      </c>
      <c r="D8" s="1061" t="s">
        <v>444</v>
      </c>
      <c r="E8" s="1061"/>
    </row>
    <row r="9" spans="1:5" ht="36.75" customHeight="1" thickBot="1">
      <c r="A9" s="1061" t="s">
        <v>445</v>
      </c>
      <c r="B9" s="1061">
        <v>5</v>
      </c>
      <c r="C9" s="1061">
        <v>5</v>
      </c>
      <c r="D9" s="1061" t="s">
        <v>446</v>
      </c>
      <c r="E9" s="1061"/>
    </row>
    <row r="10" spans="1:5" ht="43.5" customHeight="1" thickBot="1">
      <c r="A10" s="1061" t="s">
        <v>447</v>
      </c>
      <c r="B10" s="1061" t="s">
        <v>441</v>
      </c>
      <c r="C10" s="1061">
        <v>1</v>
      </c>
      <c r="D10" s="1061" t="s">
        <v>448</v>
      </c>
      <c r="E10" s="1061"/>
    </row>
    <row r="11" spans="1:5" ht="36.75" customHeight="1" thickBot="1">
      <c r="A11" s="1061" t="s">
        <v>449</v>
      </c>
      <c r="B11" s="1061">
        <v>5</v>
      </c>
      <c r="C11" s="1061" t="s">
        <v>450</v>
      </c>
      <c r="D11" s="1061" t="s">
        <v>451</v>
      </c>
      <c r="E11" s="1061"/>
    </row>
    <row r="12" spans="1:5" ht="45.75" customHeight="1" thickBot="1">
      <c r="A12" s="1061" t="s">
        <v>408</v>
      </c>
      <c r="B12" s="1061" t="s">
        <v>452</v>
      </c>
      <c r="C12" s="1061">
        <v>13.5</v>
      </c>
      <c r="D12" s="1061" t="s">
        <v>453</v>
      </c>
      <c r="E12" s="1061" t="s">
        <v>454</v>
      </c>
    </row>
    <row r="13" spans="1:5" ht="36" customHeight="1" thickBot="1">
      <c r="A13" s="1061" t="s">
        <v>455</v>
      </c>
      <c r="B13" s="1061" t="s">
        <v>452</v>
      </c>
      <c r="C13" s="1061" t="s">
        <v>456</v>
      </c>
      <c r="D13" s="1061" t="s">
        <v>457</v>
      </c>
      <c r="E13" s="1061" t="s">
        <v>458</v>
      </c>
    </row>
  </sheetData>
  <sheetProtection/>
  <printOptions/>
  <pageMargins left="0.75" right="0.75" top="1" bottom="1" header="0" footer="0"/>
  <pageSetup horizontalDpi="120" verticalDpi="120" orientation="portrait" paperSize="9" r:id="rId1"/>
</worksheet>
</file>

<file path=xl/worksheets/sheet3.xml><?xml version="1.0" encoding="utf-8"?>
<worksheet xmlns="http://schemas.openxmlformats.org/spreadsheetml/2006/main" xmlns:r="http://schemas.openxmlformats.org/officeDocument/2006/relationships">
  <dimension ref="A1:C34"/>
  <sheetViews>
    <sheetView showGridLines="0" zoomScalePageLayoutView="0" workbookViewId="0" topLeftCell="A1">
      <selection activeCell="E13" sqref="E13"/>
    </sheetView>
  </sheetViews>
  <sheetFormatPr defaultColWidth="11.421875" defaultRowHeight="12.75"/>
  <cols>
    <col min="1" max="1" width="7.140625" style="0" customWidth="1"/>
    <col min="2" max="2" width="41.421875" style="0" customWidth="1"/>
    <col min="3" max="3" width="22.8515625" style="0" customWidth="1"/>
  </cols>
  <sheetData>
    <row r="1" spans="2:3" ht="18">
      <c r="B1" s="1103" t="s">
        <v>863</v>
      </c>
      <c r="C1" s="1103"/>
    </row>
    <row r="2" spans="2:3" ht="13.5" thickBot="1">
      <c r="B2" s="185"/>
      <c r="C2" s="185"/>
    </row>
    <row r="3" spans="1:3" ht="12.75">
      <c r="A3" s="1104" t="s">
        <v>864</v>
      </c>
      <c r="B3" s="1104" t="s">
        <v>865</v>
      </c>
      <c r="C3" s="596" t="s">
        <v>866</v>
      </c>
    </row>
    <row r="4" spans="1:3" ht="13.5" thickBot="1">
      <c r="A4" s="1105"/>
      <c r="B4" s="1105"/>
      <c r="C4" s="597" t="s">
        <v>867</v>
      </c>
    </row>
    <row r="5" spans="1:3" ht="12.75">
      <c r="A5" s="31">
        <v>1</v>
      </c>
      <c r="B5" s="186" t="s">
        <v>868</v>
      </c>
      <c r="C5" s="187">
        <v>1</v>
      </c>
    </row>
    <row r="6" spans="1:3" ht="12.75">
      <c r="A6" s="33">
        <v>2</v>
      </c>
      <c r="B6" s="188" t="s">
        <v>869</v>
      </c>
      <c r="C6" s="189">
        <v>0.95</v>
      </c>
    </row>
    <row r="7" spans="1:3" ht="12.75">
      <c r="A7" s="33">
        <v>3</v>
      </c>
      <c r="B7" s="188" t="s">
        <v>870</v>
      </c>
      <c r="C7" s="189">
        <v>0.9</v>
      </c>
    </row>
    <row r="8" spans="1:3" ht="12.75">
      <c r="A8" s="33">
        <v>4</v>
      </c>
      <c r="B8" s="188" t="s">
        <v>871</v>
      </c>
      <c r="C8" s="189">
        <v>0.8</v>
      </c>
    </row>
    <row r="9" spans="1:3" ht="12.75">
      <c r="A9" s="33">
        <v>5</v>
      </c>
      <c r="B9" s="188" t="s">
        <v>872</v>
      </c>
      <c r="C9" s="189">
        <v>0.5</v>
      </c>
    </row>
    <row r="10" spans="1:3" ht="12.75">
      <c r="A10" s="33">
        <v>6</v>
      </c>
      <c r="B10" s="188" t="s">
        <v>873</v>
      </c>
      <c r="C10" s="189">
        <v>0.65</v>
      </c>
    </row>
    <row r="11" spans="1:3" ht="12.75">
      <c r="A11" s="33">
        <v>7</v>
      </c>
      <c r="B11" s="188" t="s">
        <v>874</v>
      </c>
      <c r="C11" s="189">
        <v>0.95</v>
      </c>
    </row>
    <row r="12" spans="1:3" ht="12.75">
      <c r="A12" s="33">
        <v>8</v>
      </c>
      <c r="B12" s="188" t="s">
        <v>875</v>
      </c>
      <c r="C12" s="189">
        <v>0.8</v>
      </c>
    </row>
    <row r="13" spans="1:3" ht="12.75">
      <c r="A13" s="33">
        <v>9</v>
      </c>
      <c r="B13" s="188" t="s">
        <v>876</v>
      </c>
      <c r="C13" s="189">
        <v>1</v>
      </c>
    </row>
    <row r="14" spans="1:3" ht="12.75">
      <c r="A14" s="33">
        <v>10</v>
      </c>
      <c r="B14" s="188" t="s">
        <v>877</v>
      </c>
      <c r="C14" s="189">
        <v>0.85</v>
      </c>
    </row>
    <row r="15" spans="1:3" ht="12.75">
      <c r="A15" s="33">
        <v>11</v>
      </c>
      <c r="B15" s="188" t="s">
        <v>878</v>
      </c>
      <c r="C15" s="189">
        <v>0.45</v>
      </c>
    </row>
    <row r="16" spans="1:3" ht="12.75">
      <c r="A16" s="33">
        <v>12</v>
      </c>
      <c r="B16" s="188" t="s">
        <v>879</v>
      </c>
      <c r="C16" s="189">
        <v>0.45</v>
      </c>
    </row>
    <row r="17" spans="1:3" ht="12.75">
      <c r="A17" s="33">
        <v>13</v>
      </c>
      <c r="B17" s="188" t="s">
        <v>880</v>
      </c>
      <c r="C17" s="189">
        <v>0.25</v>
      </c>
    </row>
    <row r="18" spans="1:3" ht="12.75">
      <c r="A18" s="33">
        <v>14</v>
      </c>
      <c r="B18" s="188" t="s">
        <v>881</v>
      </c>
      <c r="C18" s="189">
        <v>0.3</v>
      </c>
    </row>
    <row r="19" spans="1:3" ht="12.75">
      <c r="A19" s="33">
        <v>15</v>
      </c>
      <c r="B19" s="188" t="s">
        <v>882</v>
      </c>
      <c r="C19" s="189">
        <v>0.7</v>
      </c>
    </row>
    <row r="20" spans="1:3" ht="12.75">
      <c r="A20" s="33">
        <v>16</v>
      </c>
      <c r="B20" s="188" t="s">
        <v>883</v>
      </c>
      <c r="C20" s="189">
        <v>0.45</v>
      </c>
    </row>
    <row r="21" spans="1:3" ht="12.75">
      <c r="A21" s="33">
        <v>17</v>
      </c>
      <c r="B21" s="188" t="s">
        <v>884</v>
      </c>
      <c r="C21" s="189">
        <v>0.5</v>
      </c>
    </row>
    <row r="22" spans="1:3" ht="12.75">
      <c r="A22" s="33">
        <v>18</v>
      </c>
      <c r="B22" s="188" t="s">
        <v>885</v>
      </c>
      <c r="C22" s="189">
        <v>0.65</v>
      </c>
    </row>
    <row r="23" spans="1:3" ht="12.75">
      <c r="A23" s="33">
        <v>19</v>
      </c>
      <c r="B23" s="188" t="s">
        <v>886</v>
      </c>
      <c r="C23" s="189">
        <v>0.3</v>
      </c>
    </row>
    <row r="24" spans="1:3" ht="12.75">
      <c r="A24" s="33">
        <v>20</v>
      </c>
      <c r="B24" s="188" t="s">
        <v>796</v>
      </c>
      <c r="C24" s="189">
        <v>0.4</v>
      </c>
    </row>
    <row r="25" spans="1:3" ht="12.75">
      <c r="A25" s="33">
        <v>21</v>
      </c>
      <c r="B25" s="188" t="s">
        <v>887</v>
      </c>
      <c r="C25" s="189">
        <v>0.6</v>
      </c>
    </row>
    <row r="26" spans="1:3" ht="12.75">
      <c r="A26" s="33">
        <v>22</v>
      </c>
      <c r="B26" s="188" t="s">
        <v>888</v>
      </c>
      <c r="C26" s="189">
        <v>0.25</v>
      </c>
    </row>
    <row r="27" spans="1:3" ht="12.75">
      <c r="A27" s="33">
        <v>23</v>
      </c>
      <c r="B27" s="188" t="s">
        <v>889</v>
      </c>
      <c r="C27" s="189">
        <v>0.3</v>
      </c>
    </row>
    <row r="28" spans="1:3" ht="12.75">
      <c r="A28" s="33">
        <v>24</v>
      </c>
      <c r="B28" s="188" t="s">
        <v>890</v>
      </c>
      <c r="C28" s="189">
        <v>0.4</v>
      </c>
    </row>
    <row r="29" spans="1:3" ht="12.75">
      <c r="A29" s="33">
        <v>25</v>
      </c>
      <c r="B29" s="188" t="s">
        <v>891</v>
      </c>
      <c r="C29" s="189">
        <v>0.3</v>
      </c>
    </row>
    <row r="30" spans="1:3" ht="12.75">
      <c r="A30" s="33">
        <v>26</v>
      </c>
      <c r="B30" s="188" t="s">
        <v>892</v>
      </c>
      <c r="C30" s="189">
        <v>0.25</v>
      </c>
    </row>
    <row r="31" spans="1:3" ht="12.75">
      <c r="A31" s="33">
        <v>27</v>
      </c>
      <c r="B31" s="188" t="s">
        <v>893</v>
      </c>
      <c r="C31" s="189">
        <v>0.5</v>
      </c>
    </row>
    <row r="32" spans="1:3" ht="12.75">
      <c r="A32" s="33">
        <v>28</v>
      </c>
      <c r="B32" s="188" t="s">
        <v>894</v>
      </c>
      <c r="C32" s="189">
        <v>0.5</v>
      </c>
    </row>
    <row r="33" spans="1:3" ht="12.75">
      <c r="A33" s="33">
        <v>29</v>
      </c>
      <c r="B33" s="188" t="s">
        <v>895</v>
      </c>
      <c r="C33" s="189">
        <v>0.6</v>
      </c>
    </row>
    <row r="34" spans="1:3" ht="12.75">
      <c r="A34" s="33">
        <v>30</v>
      </c>
      <c r="B34" s="190" t="s">
        <v>896</v>
      </c>
      <c r="C34" s="131">
        <v>0.4</v>
      </c>
    </row>
  </sheetData>
  <sheetProtection/>
  <mergeCells count="3">
    <mergeCell ref="B1:C1"/>
    <mergeCell ref="A3:A4"/>
    <mergeCell ref="B3:B4"/>
  </mergeCells>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1:H160"/>
  <sheetViews>
    <sheetView zoomScalePageLayoutView="0" workbookViewId="0" topLeftCell="A58">
      <selection activeCell="D45" sqref="D45"/>
    </sheetView>
  </sheetViews>
  <sheetFormatPr defaultColWidth="11.421875" defaultRowHeight="12.75"/>
  <sheetData>
    <row r="1" spans="1:8" ht="15.75">
      <c r="A1" s="1253" t="s">
        <v>412</v>
      </c>
      <c r="B1" s="1253"/>
      <c r="C1" s="1253"/>
      <c r="D1" s="1253"/>
      <c r="E1" s="1253"/>
      <c r="F1" s="1253"/>
      <c r="G1" s="1253"/>
      <c r="H1" s="1253"/>
    </row>
    <row r="2" spans="1:8" ht="13.5" thickBot="1">
      <c r="A2" s="1057"/>
      <c r="B2" s="1057"/>
      <c r="C2" s="1057"/>
      <c r="D2" s="1057"/>
      <c r="E2" s="1057"/>
      <c r="F2" s="1057"/>
      <c r="G2" s="1057"/>
      <c r="H2" s="1057"/>
    </row>
    <row r="3" spans="1:8" ht="12.75">
      <c r="A3" s="1001" t="s">
        <v>735</v>
      </c>
      <c r="B3" s="1026" t="s">
        <v>735</v>
      </c>
      <c r="C3" s="1001" t="s">
        <v>735</v>
      </c>
      <c r="D3" s="1002" t="s">
        <v>735</v>
      </c>
      <c r="E3" s="1026" t="s">
        <v>735</v>
      </c>
      <c r="F3" s="1002" t="s">
        <v>735</v>
      </c>
      <c r="G3" s="1026" t="s">
        <v>735</v>
      </c>
      <c r="H3" s="1002" t="s">
        <v>735</v>
      </c>
    </row>
    <row r="4" spans="1:8" ht="13.5" thickBot="1">
      <c r="A4" s="1027" t="s">
        <v>413</v>
      </c>
      <c r="B4" s="1028" t="s">
        <v>414</v>
      </c>
      <c r="C4" s="1027" t="s">
        <v>413</v>
      </c>
      <c r="D4" s="1029" t="s">
        <v>414</v>
      </c>
      <c r="E4" s="1028" t="s">
        <v>413</v>
      </c>
      <c r="F4" s="1029" t="s">
        <v>414</v>
      </c>
      <c r="G4" s="1028" t="s">
        <v>413</v>
      </c>
      <c r="H4" s="1029" t="s">
        <v>414</v>
      </c>
    </row>
    <row r="5" spans="1:8" ht="12.75">
      <c r="A5" s="1031">
        <v>13.1</v>
      </c>
      <c r="B5" s="1032">
        <v>0.69</v>
      </c>
      <c r="C5" s="1033">
        <v>16.1</v>
      </c>
      <c r="D5" s="1032">
        <f>B34+E37</f>
        <v>4.138275862068954</v>
      </c>
      <c r="E5" s="1034">
        <v>19.1</v>
      </c>
      <c r="F5" s="1032">
        <f>D34+E37</f>
        <v>7.5865517241378955</v>
      </c>
      <c r="G5" s="1034">
        <v>22.1</v>
      </c>
      <c r="H5" s="1035">
        <f>F34+E37</f>
        <v>11.03482758620686</v>
      </c>
    </row>
    <row r="6" spans="1:8" ht="12.75">
      <c r="A6" s="1039">
        <v>13.2</v>
      </c>
      <c r="B6" s="34">
        <f aca="true" t="shared" si="0" ref="B6:B34">B5+$E$37</f>
        <v>0.8049425287356318</v>
      </c>
      <c r="C6" s="1040">
        <v>16.2</v>
      </c>
      <c r="D6" s="34">
        <f aca="true" t="shared" si="1" ref="D6:D34">D5+$E$37</f>
        <v>4.2532183908045855</v>
      </c>
      <c r="E6" s="1037">
        <v>19.2</v>
      </c>
      <c r="F6" s="34">
        <f aca="true" t="shared" si="2" ref="F6:F34">F5+$E$37</f>
        <v>7.701494252873527</v>
      </c>
      <c r="G6" s="1037">
        <v>22.2</v>
      </c>
      <c r="H6" s="1038">
        <f aca="true" t="shared" si="3" ref="H6:H34">H5+$E$37</f>
        <v>11.149770114942493</v>
      </c>
    </row>
    <row r="7" spans="1:8" ht="12.75">
      <c r="A7" s="1041">
        <v>13.3</v>
      </c>
      <c r="B7" s="34">
        <f t="shared" si="0"/>
        <v>0.9198850574712636</v>
      </c>
      <c r="C7" s="1042">
        <v>16.3</v>
      </c>
      <c r="D7" s="34">
        <f t="shared" si="1"/>
        <v>4.368160919540217</v>
      </c>
      <c r="E7" s="1030">
        <v>19.3</v>
      </c>
      <c r="F7" s="34">
        <f t="shared" si="2"/>
        <v>7.816436781609158</v>
      </c>
      <c r="G7" s="1030">
        <v>22.3</v>
      </c>
      <c r="H7" s="1038">
        <f t="shared" si="3"/>
        <v>11.264712643678125</v>
      </c>
    </row>
    <row r="8" spans="1:8" ht="12.75">
      <c r="A8" s="1039">
        <v>13.4</v>
      </c>
      <c r="B8" s="34">
        <f t="shared" si="0"/>
        <v>1.0348275862068954</v>
      </c>
      <c r="C8" s="1040">
        <v>16.4</v>
      </c>
      <c r="D8" s="34">
        <f t="shared" si="1"/>
        <v>4.483103448275848</v>
      </c>
      <c r="E8" s="1037">
        <v>19.4</v>
      </c>
      <c r="F8" s="34">
        <f t="shared" si="2"/>
        <v>7.93137931034479</v>
      </c>
      <c r="G8" s="1037">
        <v>22.4</v>
      </c>
      <c r="H8" s="1038">
        <f t="shared" si="3"/>
        <v>11.379655172413758</v>
      </c>
    </row>
    <row r="9" spans="1:8" ht="12.75">
      <c r="A9" s="1041">
        <v>13.5</v>
      </c>
      <c r="B9" s="34">
        <f t="shared" si="0"/>
        <v>1.1497701149425272</v>
      </c>
      <c r="C9" s="1042">
        <v>16.5</v>
      </c>
      <c r="D9" s="34">
        <f t="shared" si="1"/>
        <v>4.59804597701148</v>
      </c>
      <c r="E9" s="1030">
        <v>19.5</v>
      </c>
      <c r="F9" s="34">
        <f t="shared" si="2"/>
        <v>8.046321839080422</v>
      </c>
      <c r="G9" s="1030">
        <v>22.5</v>
      </c>
      <c r="H9" s="1038">
        <f t="shared" si="3"/>
        <v>11.49459770114939</v>
      </c>
    </row>
    <row r="10" spans="1:8" ht="12.75">
      <c r="A10" s="1039">
        <v>13.6</v>
      </c>
      <c r="B10" s="34">
        <f t="shared" si="0"/>
        <v>1.264712643678159</v>
      </c>
      <c r="C10" s="1040">
        <v>16.6</v>
      </c>
      <c r="D10" s="34">
        <f t="shared" si="1"/>
        <v>4.712988505747111</v>
      </c>
      <c r="E10" s="1037">
        <v>19.6</v>
      </c>
      <c r="F10" s="34">
        <f t="shared" si="2"/>
        <v>8.161264367816054</v>
      </c>
      <c r="G10" s="1037">
        <v>22.6</v>
      </c>
      <c r="H10" s="1038">
        <f t="shared" si="3"/>
        <v>11.609540229885022</v>
      </c>
    </row>
    <row r="11" spans="1:8" ht="12.75">
      <c r="A11" s="1041">
        <v>13.7</v>
      </c>
      <c r="B11" s="34">
        <f t="shared" si="0"/>
        <v>1.3796551724137909</v>
      </c>
      <c r="C11" s="1042">
        <v>16.7</v>
      </c>
      <c r="D11" s="34">
        <f t="shared" si="1"/>
        <v>4.827931034482742</v>
      </c>
      <c r="E11" s="1030">
        <v>19.7</v>
      </c>
      <c r="F11" s="34">
        <f t="shared" si="2"/>
        <v>8.276206896551686</v>
      </c>
      <c r="G11" s="1030">
        <v>22.7</v>
      </c>
      <c r="H11" s="1038">
        <f t="shared" si="3"/>
        <v>11.724482758620654</v>
      </c>
    </row>
    <row r="12" spans="1:8" ht="12.75">
      <c r="A12" s="1039">
        <v>13.8</v>
      </c>
      <c r="B12" s="34">
        <f t="shared" si="0"/>
        <v>1.4945977011494227</v>
      </c>
      <c r="C12" s="1040">
        <v>16.8</v>
      </c>
      <c r="D12" s="34">
        <f t="shared" si="1"/>
        <v>4.942873563218374</v>
      </c>
      <c r="E12" s="1037">
        <v>19.8</v>
      </c>
      <c r="F12" s="34">
        <f t="shared" si="2"/>
        <v>8.391149425287319</v>
      </c>
      <c r="G12" s="1037">
        <v>22.8</v>
      </c>
      <c r="H12" s="1038">
        <f t="shared" si="3"/>
        <v>11.839425287356287</v>
      </c>
    </row>
    <row r="13" spans="1:8" ht="12.75">
      <c r="A13" s="1041">
        <v>13.9</v>
      </c>
      <c r="B13" s="34">
        <f t="shared" si="0"/>
        <v>1.6095402298850545</v>
      </c>
      <c r="C13" s="1042">
        <v>16.9</v>
      </c>
      <c r="D13" s="34">
        <f t="shared" si="1"/>
        <v>5.057816091954005</v>
      </c>
      <c r="E13" s="1030">
        <v>19.9</v>
      </c>
      <c r="F13" s="34">
        <f t="shared" si="2"/>
        <v>8.506091954022951</v>
      </c>
      <c r="G13" s="1030">
        <v>22.9</v>
      </c>
      <c r="H13" s="1038">
        <f t="shared" si="3"/>
        <v>11.954367816091919</v>
      </c>
    </row>
    <row r="14" spans="1:8" ht="12.75">
      <c r="A14" s="1039">
        <v>14</v>
      </c>
      <c r="B14" s="34">
        <f t="shared" si="0"/>
        <v>1.7244827586206863</v>
      </c>
      <c r="C14" s="1040">
        <v>17</v>
      </c>
      <c r="D14" s="34">
        <f t="shared" si="1"/>
        <v>5.1727586206896365</v>
      </c>
      <c r="E14" s="1037">
        <v>20</v>
      </c>
      <c r="F14" s="34">
        <f t="shared" si="2"/>
        <v>8.621034482758583</v>
      </c>
      <c r="G14" s="1037">
        <v>23</v>
      </c>
      <c r="H14" s="1038">
        <f t="shared" si="3"/>
        <v>12.069310344827551</v>
      </c>
    </row>
    <row r="15" spans="1:8" ht="12.75">
      <c r="A15" s="1041">
        <v>14.1</v>
      </c>
      <c r="B15" s="34">
        <f t="shared" si="0"/>
        <v>1.8394252873563182</v>
      </c>
      <c r="C15" s="1042">
        <v>17.1</v>
      </c>
      <c r="D15" s="34">
        <f t="shared" si="1"/>
        <v>5.287701149425268</v>
      </c>
      <c r="E15" s="1030">
        <v>20.1</v>
      </c>
      <c r="F15" s="34">
        <f t="shared" si="2"/>
        <v>8.735977011494215</v>
      </c>
      <c r="G15" s="1030">
        <v>23.1</v>
      </c>
      <c r="H15" s="1038">
        <f t="shared" si="3"/>
        <v>12.184252873563183</v>
      </c>
    </row>
    <row r="16" spans="1:8" ht="12.75">
      <c r="A16" s="1039">
        <v>14.2</v>
      </c>
      <c r="B16" s="34">
        <f t="shared" si="0"/>
        <v>1.95436781609195</v>
      </c>
      <c r="C16" s="1040">
        <v>17.2</v>
      </c>
      <c r="D16" s="34">
        <f t="shared" si="1"/>
        <v>5.402643678160899</v>
      </c>
      <c r="E16" s="1037">
        <v>20.2</v>
      </c>
      <c r="F16" s="34">
        <f t="shared" si="2"/>
        <v>8.850919540229848</v>
      </c>
      <c r="G16" s="1037">
        <v>23.2</v>
      </c>
      <c r="H16" s="1038">
        <f t="shared" si="3"/>
        <v>12.299195402298816</v>
      </c>
    </row>
    <row r="17" spans="1:8" ht="12.75">
      <c r="A17" s="1041">
        <v>14.3</v>
      </c>
      <c r="B17" s="34">
        <f t="shared" si="0"/>
        <v>2.069310344827582</v>
      </c>
      <c r="C17" s="1042">
        <v>17.3</v>
      </c>
      <c r="D17" s="34">
        <f t="shared" si="1"/>
        <v>5.517586206896531</v>
      </c>
      <c r="E17" s="1030">
        <v>20.3</v>
      </c>
      <c r="F17" s="34">
        <f t="shared" si="2"/>
        <v>8.96586206896548</v>
      </c>
      <c r="G17" s="1030">
        <v>23.3</v>
      </c>
      <c r="H17" s="1038">
        <f t="shared" si="3"/>
        <v>12.414137931034448</v>
      </c>
    </row>
    <row r="18" spans="1:8" ht="12.75">
      <c r="A18" s="1039">
        <v>14.4</v>
      </c>
      <c r="B18" s="34">
        <f t="shared" si="0"/>
        <v>2.1842528735632136</v>
      </c>
      <c r="C18" s="1040">
        <v>17.4</v>
      </c>
      <c r="D18" s="34">
        <f t="shared" si="1"/>
        <v>5.632528735632162</v>
      </c>
      <c r="E18" s="1037">
        <v>20.4</v>
      </c>
      <c r="F18" s="34">
        <f t="shared" si="2"/>
        <v>9.080804597701112</v>
      </c>
      <c r="G18" s="1037">
        <v>23.4</v>
      </c>
      <c r="H18" s="1038">
        <f t="shared" si="3"/>
        <v>12.52908045977008</v>
      </c>
    </row>
    <row r="19" spans="1:8" ht="12.75">
      <c r="A19" s="1041">
        <v>14.5</v>
      </c>
      <c r="B19" s="34">
        <f t="shared" si="0"/>
        <v>2.2991954022988454</v>
      </c>
      <c r="C19" s="1042">
        <v>17.5</v>
      </c>
      <c r="D19" s="34">
        <f t="shared" si="1"/>
        <v>5.747471264367793</v>
      </c>
      <c r="E19" s="1030">
        <v>20.5</v>
      </c>
      <c r="F19" s="34">
        <f t="shared" si="2"/>
        <v>9.195747126436745</v>
      </c>
      <c r="G19" s="1030">
        <v>23.5</v>
      </c>
      <c r="H19" s="1038">
        <f t="shared" si="3"/>
        <v>12.644022988505712</v>
      </c>
    </row>
    <row r="20" spans="1:8" ht="12.75">
      <c r="A20" s="1039">
        <v>14.6</v>
      </c>
      <c r="B20" s="34">
        <f t="shared" si="0"/>
        <v>2.4141379310344773</v>
      </c>
      <c r="C20" s="1040">
        <v>17.6</v>
      </c>
      <c r="D20" s="34">
        <f t="shared" si="1"/>
        <v>5.862413793103425</v>
      </c>
      <c r="E20" s="1037">
        <v>20.6</v>
      </c>
      <c r="F20" s="34">
        <f t="shared" si="2"/>
        <v>9.310689655172377</v>
      </c>
      <c r="G20" s="1037">
        <v>23.6</v>
      </c>
      <c r="H20" s="1038">
        <f t="shared" si="3"/>
        <v>12.758965517241345</v>
      </c>
    </row>
    <row r="21" spans="1:8" ht="12.75">
      <c r="A21" s="1041">
        <v>14.7</v>
      </c>
      <c r="B21" s="34">
        <f t="shared" si="0"/>
        <v>2.529080459770109</v>
      </c>
      <c r="C21" s="1042">
        <v>17.7</v>
      </c>
      <c r="D21" s="34">
        <f t="shared" si="1"/>
        <v>5.977356321839056</v>
      </c>
      <c r="E21" s="1030">
        <v>20.7</v>
      </c>
      <c r="F21" s="34">
        <f t="shared" si="2"/>
        <v>9.425632183908009</v>
      </c>
      <c r="G21" s="1030">
        <v>23.7</v>
      </c>
      <c r="H21" s="1038">
        <f t="shared" si="3"/>
        <v>12.873908045976977</v>
      </c>
    </row>
    <row r="22" spans="1:8" ht="12.75">
      <c r="A22" s="1039">
        <v>14.8</v>
      </c>
      <c r="B22" s="34">
        <f t="shared" si="0"/>
        <v>2.644022988505741</v>
      </c>
      <c r="C22" s="1040">
        <v>17.8</v>
      </c>
      <c r="D22" s="34">
        <f t="shared" si="1"/>
        <v>6.092298850574688</v>
      </c>
      <c r="E22" s="1037">
        <v>20.8</v>
      </c>
      <c r="F22" s="34">
        <f t="shared" si="2"/>
        <v>9.540574712643641</v>
      </c>
      <c r="G22" s="1037">
        <v>23.8</v>
      </c>
      <c r="H22" s="1038">
        <f t="shared" si="3"/>
        <v>12.98885057471261</v>
      </c>
    </row>
    <row r="23" spans="1:8" ht="12.75">
      <c r="A23" s="1041">
        <v>14.9</v>
      </c>
      <c r="B23" s="34">
        <f t="shared" si="0"/>
        <v>2.7589655172413727</v>
      </c>
      <c r="C23" s="1042">
        <v>17.9</v>
      </c>
      <c r="D23" s="34">
        <f t="shared" si="1"/>
        <v>6.207241379310319</v>
      </c>
      <c r="E23" s="1030">
        <v>20.9</v>
      </c>
      <c r="F23" s="34">
        <f t="shared" si="2"/>
        <v>9.655517241379274</v>
      </c>
      <c r="G23" s="1030">
        <v>23.9</v>
      </c>
      <c r="H23" s="1038">
        <f t="shared" si="3"/>
        <v>13.103793103448242</v>
      </c>
    </row>
    <row r="24" spans="1:8" ht="12.75">
      <c r="A24" s="1039">
        <v>15</v>
      </c>
      <c r="B24" s="34">
        <f t="shared" si="0"/>
        <v>2.8739080459770046</v>
      </c>
      <c r="C24" s="1040">
        <v>18</v>
      </c>
      <c r="D24" s="34">
        <f t="shared" si="1"/>
        <v>6.32218390804595</v>
      </c>
      <c r="E24" s="1037">
        <v>21</v>
      </c>
      <c r="F24" s="34">
        <f t="shared" si="2"/>
        <v>9.770459770114906</v>
      </c>
      <c r="G24" s="1037">
        <v>24</v>
      </c>
      <c r="H24" s="1038">
        <f t="shared" si="3"/>
        <v>13.218735632183874</v>
      </c>
    </row>
    <row r="25" spans="1:8" ht="12.75">
      <c r="A25" s="1041">
        <v>15.1</v>
      </c>
      <c r="B25" s="34">
        <f t="shared" si="0"/>
        <v>2.9888505747126364</v>
      </c>
      <c r="C25" s="1042">
        <v>18.1</v>
      </c>
      <c r="D25" s="34">
        <f t="shared" si="1"/>
        <v>6.437126436781582</v>
      </c>
      <c r="E25" s="1030">
        <v>21.1</v>
      </c>
      <c r="F25" s="34">
        <f t="shared" si="2"/>
        <v>9.885402298850538</v>
      </c>
      <c r="G25" s="1030">
        <v>24.1</v>
      </c>
      <c r="H25" s="1038">
        <f t="shared" si="3"/>
        <v>13.333678160919506</v>
      </c>
    </row>
    <row r="26" spans="1:8" ht="12.75">
      <c r="A26" s="1039">
        <v>15.2</v>
      </c>
      <c r="B26" s="34">
        <f t="shared" si="0"/>
        <v>3.103793103448268</v>
      </c>
      <c r="C26" s="1040">
        <v>18.2</v>
      </c>
      <c r="D26" s="34">
        <f t="shared" si="1"/>
        <v>6.552068965517213</v>
      </c>
      <c r="E26" s="1037">
        <v>21.2</v>
      </c>
      <c r="F26" s="34">
        <f t="shared" si="2"/>
        <v>10.00034482758617</v>
      </c>
      <c r="G26" s="1037">
        <v>24.2</v>
      </c>
      <c r="H26" s="1038">
        <f t="shared" si="3"/>
        <v>13.448620689655138</v>
      </c>
    </row>
    <row r="27" spans="1:8" ht="12.75">
      <c r="A27" s="1041">
        <v>15.3</v>
      </c>
      <c r="B27" s="34">
        <f t="shared" si="0"/>
        <v>3.2187356321839</v>
      </c>
      <c r="C27" s="1042">
        <v>18.3</v>
      </c>
      <c r="D27" s="34">
        <f t="shared" si="1"/>
        <v>6.6670114942528445</v>
      </c>
      <c r="E27" s="1030">
        <v>21.3</v>
      </c>
      <c r="F27" s="34">
        <f t="shared" si="2"/>
        <v>10.115287356321803</v>
      </c>
      <c r="G27" s="1030">
        <v>24.3</v>
      </c>
      <c r="H27" s="1038">
        <f t="shared" si="3"/>
        <v>13.56356321839077</v>
      </c>
    </row>
    <row r="28" spans="1:8" ht="12.75">
      <c r="A28" s="1039">
        <v>15.4</v>
      </c>
      <c r="B28" s="34">
        <f t="shared" si="0"/>
        <v>3.333678160919532</v>
      </c>
      <c r="C28" s="1040">
        <v>18.4</v>
      </c>
      <c r="D28" s="34">
        <f t="shared" si="1"/>
        <v>6.781954022988476</v>
      </c>
      <c r="E28" s="1037">
        <v>21.4</v>
      </c>
      <c r="F28" s="34">
        <f t="shared" si="2"/>
        <v>10.230229885057435</v>
      </c>
      <c r="G28" s="1037">
        <v>24.4</v>
      </c>
      <c r="H28" s="1038">
        <f t="shared" si="3"/>
        <v>13.678505747126403</v>
      </c>
    </row>
    <row r="29" spans="1:8" ht="12.75">
      <c r="A29" s="1041">
        <v>15.5</v>
      </c>
      <c r="B29" s="34">
        <f t="shared" si="0"/>
        <v>3.4486206896551637</v>
      </c>
      <c r="C29" s="1042">
        <v>18.5</v>
      </c>
      <c r="D29" s="34">
        <f t="shared" si="1"/>
        <v>6.896896551724107</v>
      </c>
      <c r="E29" s="1030">
        <v>21.5</v>
      </c>
      <c r="F29" s="34">
        <f t="shared" si="2"/>
        <v>10.345172413793067</v>
      </c>
      <c r="G29" s="1030">
        <v>24.5</v>
      </c>
      <c r="H29" s="1038">
        <f t="shared" si="3"/>
        <v>13.793448275862035</v>
      </c>
    </row>
    <row r="30" spans="1:8" ht="12.75">
      <c r="A30" s="1039">
        <v>15.6</v>
      </c>
      <c r="B30" s="34">
        <f t="shared" si="0"/>
        <v>3.5635632183907955</v>
      </c>
      <c r="C30" s="1040">
        <v>18.6</v>
      </c>
      <c r="D30" s="34">
        <f t="shared" si="1"/>
        <v>7.011839080459739</v>
      </c>
      <c r="E30" s="1037">
        <v>21.6</v>
      </c>
      <c r="F30" s="34">
        <f t="shared" si="2"/>
        <v>10.4601149425287</v>
      </c>
      <c r="G30" s="1037">
        <v>24.6</v>
      </c>
      <c r="H30" s="1038">
        <f t="shared" si="3"/>
        <v>13.908390804597667</v>
      </c>
    </row>
    <row r="31" spans="1:8" ht="12.75">
      <c r="A31" s="1041">
        <v>15.7</v>
      </c>
      <c r="B31" s="34">
        <f t="shared" si="0"/>
        <v>3.6785057471264273</v>
      </c>
      <c r="C31" s="1042">
        <v>18.7</v>
      </c>
      <c r="D31" s="34">
        <f t="shared" si="1"/>
        <v>7.12678160919537</v>
      </c>
      <c r="E31" s="1030">
        <v>21.7</v>
      </c>
      <c r="F31" s="34">
        <f t="shared" si="2"/>
        <v>10.575057471264332</v>
      </c>
      <c r="G31" s="1030">
        <v>24.7</v>
      </c>
      <c r="H31" s="1038">
        <f t="shared" si="3"/>
        <v>14.0233333333333</v>
      </c>
    </row>
    <row r="32" spans="1:8" ht="12.75">
      <c r="A32" s="1039">
        <v>15.8</v>
      </c>
      <c r="B32" s="34">
        <f t="shared" si="0"/>
        <v>3.793448275862059</v>
      </c>
      <c r="C32" s="1040">
        <v>18.8</v>
      </c>
      <c r="D32" s="34">
        <f t="shared" si="1"/>
        <v>7.241724137931001</v>
      </c>
      <c r="E32" s="1037">
        <v>21.8</v>
      </c>
      <c r="F32" s="34">
        <f t="shared" si="2"/>
        <v>10.689999999999964</v>
      </c>
      <c r="G32" s="1037">
        <v>24.8</v>
      </c>
      <c r="H32" s="1038">
        <f t="shared" si="3"/>
        <v>14.138275862068932</v>
      </c>
    </row>
    <row r="33" spans="1:8" ht="12.75">
      <c r="A33" s="1041">
        <v>15.9</v>
      </c>
      <c r="B33" s="34">
        <f t="shared" si="0"/>
        <v>3.908390804597691</v>
      </c>
      <c r="C33" s="1042">
        <v>18.9</v>
      </c>
      <c r="D33" s="34">
        <f t="shared" si="1"/>
        <v>7.356666666666633</v>
      </c>
      <c r="E33" s="1030">
        <v>21.9</v>
      </c>
      <c r="F33" s="34">
        <f t="shared" si="2"/>
        <v>10.804942528735596</v>
      </c>
      <c r="G33" s="1030">
        <v>24.9</v>
      </c>
      <c r="H33" s="1038">
        <f t="shared" si="3"/>
        <v>14.253218390804564</v>
      </c>
    </row>
    <row r="34" spans="1:8" ht="13.5" thickBot="1">
      <c r="A34" s="1044">
        <v>16</v>
      </c>
      <c r="B34" s="34">
        <f t="shared" si="0"/>
        <v>4.023333333333323</v>
      </c>
      <c r="C34" s="1045">
        <v>19</v>
      </c>
      <c r="D34" s="34">
        <f t="shared" si="1"/>
        <v>7.471609195402264</v>
      </c>
      <c r="E34" s="1046">
        <v>22</v>
      </c>
      <c r="F34" s="34">
        <f t="shared" si="2"/>
        <v>10.919885057471229</v>
      </c>
      <c r="G34" s="1046">
        <v>25</v>
      </c>
      <c r="H34" s="1038">
        <f t="shared" si="3"/>
        <v>14.368160919540196</v>
      </c>
    </row>
    <row r="36" ht="12.75">
      <c r="C36" t="s">
        <v>419</v>
      </c>
    </row>
    <row r="37" ht="12.75">
      <c r="E37">
        <f>((13.1-13)/(100-13))*100</f>
        <v>0.11494252873563177</v>
      </c>
    </row>
    <row r="38" ht="13.5" thickBot="1"/>
    <row r="39" spans="1:2" ht="12.75">
      <c r="A39" s="1001" t="s">
        <v>735</v>
      </c>
      <c r="B39" s="1026" t="s">
        <v>735</v>
      </c>
    </row>
    <row r="40" spans="1:2" ht="13.5" thickBot="1">
      <c r="A40" s="1027" t="s">
        <v>413</v>
      </c>
      <c r="B40" s="1028" t="s">
        <v>414</v>
      </c>
    </row>
    <row r="41" spans="1:2" ht="12.75">
      <c r="A41" s="1031">
        <v>13.1</v>
      </c>
      <c r="B41" s="1032">
        <v>0.69</v>
      </c>
    </row>
    <row r="42" spans="1:2" ht="12.75">
      <c r="A42" s="1039">
        <v>13.2</v>
      </c>
      <c r="B42" s="34">
        <f aca="true" t="shared" si="4" ref="B42:B105">B41+$E$37</f>
        <v>0.8049425287356318</v>
      </c>
    </row>
    <row r="43" spans="1:2" ht="12.75">
      <c r="A43" s="1041">
        <v>13.3</v>
      </c>
      <c r="B43" s="34">
        <f t="shared" si="4"/>
        <v>0.9198850574712636</v>
      </c>
    </row>
    <row r="44" spans="1:2" ht="12.75">
      <c r="A44" s="1039">
        <v>13.4</v>
      </c>
      <c r="B44" s="34">
        <f t="shared" si="4"/>
        <v>1.0348275862068954</v>
      </c>
    </row>
    <row r="45" spans="1:2" ht="12.75">
      <c r="A45" s="1041">
        <v>13.5</v>
      </c>
      <c r="B45" s="34">
        <f t="shared" si="4"/>
        <v>1.1497701149425272</v>
      </c>
    </row>
    <row r="46" spans="1:2" ht="12.75">
      <c r="A46" s="1039">
        <v>13.6</v>
      </c>
      <c r="B46" s="34">
        <f t="shared" si="4"/>
        <v>1.264712643678159</v>
      </c>
    </row>
    <row r="47" spans="1:2" ht="12.75">
      <c r="A47" s="1041">
        <v>13.7</v>
      </c>
      <c r="B47" s="34">
        <f t="shared" si="4"/>
        <v>1.3796551724137909</v>
      </c>
    </row>
    <row r="48" spans="1:2" ht="12.75">
      <c r="A48" s="1039">
        <v>13.8</v>
      </c>
      <c r="B48" s="34">
        <f t="shared" si="4"/>
        <v>1.4945977011494227</v>
      </c>
    </row>
    <row r="49" spans="1:2" ht="12.75">
      <c r="A49" s="1041">
        <v>13.9</v>
      </c>
      <c r="B49" s="34">
        <f t="shared" si="4"/>
        <v>1.6095402298850545</v>
      </c>
    </row>
    <row r="50" spans="1:2" ht="12.75">
      <c r="A50" s="1039">
        <v>14</v>
      </c>
      <c r="B50" s="34">
        <f t="shared" si="4"/>
        <v>1.7244827586206863</v>
      </c>
    </row>
    <row r="51" spans="1:2" ht="12.75">
      <c r="A51" s="1041">
        <v>14.1</v>
      </c>
      <c r="B51" s="34">
        <f t="shared" si="4"/>
        <v>1.8394252873563182</v>
      </c>
    </row>
    <row r="52" spans="1:2" ht="12.75">
      <c r="A52" s="1039">
        <v>14.2</v>
      </c>
      <c r="B52" s="34">
        <f t="shared" si="4"/>
        <v>1.95436781609195</v>
      </c>
    </row>
    <row r="53" spans="1:2" ht="12.75">
      <c r="A53" s="1041">
        <v>14.3</v>
      </c>
      <c r="B53" s="34">
        <f t="shared" si="4"/>
        <v>2.069310344827582</v>
      </c>
    </row>
    <row r="54" spans="1:2" ht="12.75">
      <c r="A54" s="1039">
        <v>14.4</v>
      </c>
      <c r="B54" s="34">
        <f t="shared" si="4"/>
        <v>2.1842528735632136</v>
      </c>
    </row>
    <row r="55" spans="1:2" ht="12.75">
      <c r="A55" s="1041">
        <v>14.5</v>
      </c>
      <c r="B55" s="34">
        <f t="shared" si="4"/>
        <v>2.2991954022988454</v>
      </c>
    </row>
    <row r="56" spans="1:2" ht="12.75">
      <c r="A56" s="1039">
        <v>14.6</v>
      </c>
      <c r="B56" s="34">
        <f t="shared" si="4"/>
        <v>2.4141379310344773</v>
      </c>
    </row>
    <row r="57" spans="1:2" ht="12.75">
      <c r="A57" s="1041">
        <v>14.7</v>
      </c>
      <c r="B57" s="34">
        <f t="shared" si="4"/>
        <v>2.529080459770109</v>
      </c>
    </row>
    <row r="58" spans="1:2" ht="12.75">
      <c r="A58" s="1039">
        <v>14.8</v>
      </c>
      <c r="B58" s="34">
        <f t="shared" si="4"/>
        <v>2.644022988505741</v>
      </c>
    </row>
    <row r="59" spans="1:2" ht="12.75">
      <c r="A59" s="1041">
        <v>14.9</v>
      </c>
      <c r="B59" s="34">
        <f t="shared" si="4"/>
        <v>2.7589655172413727</v>
      </c>
    </row>
    <row r="60" spans="1:2" ht="12.75">
      <c r="A60" s="1039">
        <v>15</v>
      </c>
      <c r="B60" s="34">
        <f t="shared" si="4"/>
        <v>2.8739080459770046</v>
      </c>
    </row>
    <row r="61" spans="1:2" ht="12.75">
      <c r="A61" s="1041">
        <v>15.1</v>
      </c>
      <c r="B61" s="34">
        <f t="shared" si="4"/>
        <v>2.9888505747126364</v>
      </c>
    </row>
    <row r="62" spans="1:2" ht="12.75">
      <c r="A62" s="1039">
        <v>15.2</v>
      </c>
      <c r="B62" s="34">
        <f t="shared" si="4"/>
        <v>3.103793103448268</v>
      </c>
    </row>
    <row r="63" spans="1:2" ht="12.75">
      <c r="A63" s="1041">
        <v>15.3</v>
      </c>
      <c r="B63" s="34">
        <f t="shared" si="4"/>
        <v>3.2187356321839</v>
      </c>
    </row>
    <row r="64" spans="1:2" ht="12.75">
      <c r="A64" s="1039">
        <v>15.4</v>
      </c>
      <c r="B64" s="34">
        <f t="shared" si="4"/>
        <v>3.333678160919532</v>
      </c>
    </row>
    <row r="65" spans="1:2" ht="12.75">
      <c r="A65" s="1041">
        <v>15.5</v>
      </c>
      <c r="B65" s="34">
        <f t="shared" si="4"/>
        <v>3.4486206896551637</v>
      </c>
    </row>
    <row r="66" spans="1:2" ht="12.75">
      <c r="A66" s="1039">
        <v>15.6</v>
      </c>
      <c r="B66" s="34">
        <f t="shared" si="4"/>
        <v>3.5635632183907955</v>
      </c>
    </row>
    <row r="67" spans="1:2" ht="12.75">
      <c r="A67" s="1041">
        <v>15.7</v>
      </c>
      <c r="B67" s="34">
        <f t="shared" si="4"/>
        <v>3.6785057471264273</v>
      </c>
    </row>
    <row r="68" spans="1:2" ht="12.75">
      <c r="A68" s="1039">
        <v>15.8</v>
      </c>
      <c r="B68" s="34">
        <f t="shared" si="4"/>
        <v>3.793448275862059</v>
      </c>
    </row>
    <row r="69" spans="1:2" ht="12.75">
      <c r="A69" s="1041">
        <v>15.9</v>
      </c>
      <c r="B69" s="34">
        <f t="shared" si="4"/>
        <v>3.908390804597691</v>
      </c>
    </row>
    <row r="70" spans="1:2" ht="13.5" thickBot="1">
      <c r="A70" s="1044">
        <v>16</v>
      </c>
      <c r="B70" s="34">
        <f t="shared" si="4"/>
        <v>4.023333333333323</v>
      </c>
    </row>
    <row r="71" spans="1:2" ht="12.75">
      <c r="A71" s="1041">
        <v>16.1</v>
      </c>
      <c r="B71" s="34">
        <f t="shared" si="4"/>
        <v>4.138275862068954</v>
      </c>
    </row>
    <row r="72" spans="1:2" ht="13.5" thickBot="1">
      <c r="A72" s="1044">
        <v>16.2</v>
      </c>
      <c r="B72" s="34">
        <f t="shared" si="4"/>
        <v>4.2532183908045855</v>
      </c>
    </row>
    <row r="73" spans="1:2" ht="12.75">
      <c r="A73" s="1041">
        <v>16.3</v>
      </c>
      <c r="B73" s="34">
        <f t="shared" si="4"/>
        <v>4.368160919540217</v>
      </c>
    </row>
    <row r="74" spans="1:2" ht="13.5" thickBot="1">
      <c r="A74" s="1044">
        <v>16.4</v>
      </c>
      <c r="B74" s="34">
        <f t="shared" si="4"/>
        <v>4.483103448275848</v>
      </c>
    </row>
    <row r="75" spans="1:2" ht="12.75">
      <c r="A75" s="1041">
        <v>16.5</v>
      </c>
      <c r="B75" s="34">
        <f t="shared" si="4"/>
        <v>4.59804597701148</v>
      </c>
    </row>
    <row r="76" spans="1:2" ht="13.5" thickBot="1">
      <c r="A76" s="1044">
        <v>16.6</v>
      </c>
      <c r="B76" s="34">
        <f t="shared" si="4"/>
        <v>4.712988505747111</v>
      </c>
    </row>
    <row r="77" spans="1:2" ht="12.75">
      <c r="A77" s="1041">
        <v>16.7</v>
      </c>
      <c r="B77" s="34">
        <f t="shared" si="4"/>
        <v>4.827931034482742</v>
      </c>
    </row>
    <row r="78" spans="1:2" ht="13.5" thickBot="1">
      <c r="A78" s="1044">
        <v>16.8</v>
      </c>
      <c r="B78" s="34">
        <f t="shared" si="4"/>
        <v>4.942873563218374</v>
      </c>
    </row>
    <row r="79" spans="1:2" ht="12.75">
      <c r="A79" s="1041">
        <v>16.9</v>
      </c>
      <c r="B79" s="34">
        <f t="shared" si="4"/>
        <v>5.057816091954005</v>
      </c>
    </row>
    <row r="80" spans="1:2" ht="13.5" thickBot="1">
      <c r="A80" s="1044">
        <v>17</v>
      </c>
      <c r="B80" s="34">
        <f t="shared" si="4"/>
        <v>5.1727586206896365</v>
      </c>
    </row>
    <row r="81" spans="1:2" ht="12.75">
      <c r="A81" s="1041">
        <v>17.1</v>
      </c>
      <c r="B81" s="34">
        <f t="shared" si="4"/>
        <v>5.287701149425268</v>
      </c>
    </row>
    <row r="82" spans="1:2" ht="13.5" thickBot="1">
      <c r="A82" s="1044">
        <v>17.2</v>
      </c>
      <c r="B82" s="34">
        <f t="shared" si="4"/>
        <v>5.402643678160899</v>
      </c>
    </row>
    <row r="83" spans="1:2" ht="12.75">
      <c r="A83" s="1041">
        <v>17.3</v>
      </c>
      <c r="B83" s="34">
        <f t="shared" si="4"/>
        <v>5.517586206896531</v>
      </c>
    </row>
    <row r="84" spans="1:2" ht="13.5" thickBot="1">
      <c r="A84" s="1044">
        <v>17.4</v>
      </c>
      <c r="B84" s="34">
        <f t="shared" si="4"/>
        <v>5.632528735632162</v>
      </c>
    </row>
    <row r="85" spans="1:2" ht="12.75">
      <c r="A85" s="1041">
        <v>17.5</v>
      </c>
      <c r="B85" s="34">
        <f t="shared" si="4"/>
        <v>5.747471264367793</v>
      </c>
    </row>
    <row r="86" spans="1:2" ht="13.5" thickBot="1">
      <c r="A86" s="1044">
        <v>17.6</v>
      </c>
      <c r="B86" s="34">
        <f t="shared" si="4"/>
        <v>5.862413793103425</v>
      </c>
    </row>
    <row r="87" spans="1:2" ht="12.75">
      <c r="A87" s="1041">
        <v>17.7</v>
      </c>
      <c r="B87" s="34">
        <f t="shared" si="4"/>
        <v>5.977356321839056</v>
      </c>
    </row>
    <row r="88" spans="1:2" ht="13.5" thickBot="1">
      <c r="A88" s="1044">
        <v>17.8</v>
      </c>
      <c r="B88" s="34">
        <f t="shared" si="4"/>
        <v>6.092298850574688</v>
      </c>
    </row>
    <row r="89" spans="1:2" ht="12.75">
      <c r="A89" s="1041">
        <v>17.9</v>
      </c>
      <c r="B89" s="34">
        <f t="shared" si="4"/>
        <v>6.207241379310319</v>
      </c>
    </row>
    <row r="90" spans="1:2" ht="13.5" thickBot="1">
      <c r="A90" s="1044">
        <v>18</v>
      </c>
      <c r="B90" s="34">
        <f t="shared" si="4"/>
        <v>6.32218390804595</v>
      </c>
    </row>
    <row r="91" spans="1:2" ht="12.75">
      <c r="A91" s="1041">
        <v>18.1</v>
      </c>
      <c r="B91" s="34">
        <f t="shared" si="4"/>
        <v>6.437126436781582</v>
      </c>
    </row>
    <row r="92" spans="1:2" ht="13.5" thickBot="1">
      <c r="A92" s="1044">
        <v>18.2</v>
      </c>
      <c r="B92" s="34">
        <f t="shared" si="4"/>
        <v>6.552068965517213</v>
      </c>
    </row>
    <row r="93" spans="1:2" ht="12.75">
      <c r="A93" s="1041">
        <v>18.3</v>
      </c>
      <c r="B93" s="34">
        <f t="shared" si="4"/>
        <v>6.6670114942528445</v>
      </c>
    </row>
    <row r="94" spans="1:2" ht="13.5" thickBot="1">
      <c r="A94" s="1044">
        <v>18.4</v>
      </c>
      <c r="B94" s="34">
        <f t="shared" si="4"/>
        <v>6.781954022988476</v>
      </c>
    </row>
    <row r="95" spans="1:2" ht="12.75">
      <c r="A95" s="1041">
        <v>18.5</v>
      </c>
      <c r="B95" s="34">
        <f t="shared" si="4"/>
        <v>6.896896551724107</v>
      </c>
    </row>
    <row r="96" spans="1:2" ht="13.5" thickBot="1">
      <c r="A96" s="1044">
        <v>18.6</v>
      </c>
      <c r="B96" s="34">
        <f t="shared" si="4"/>
        <v>7.011839080459739</v>
      </c>
    </row>
    <row r="97" spans="1:2" ht="12.75">
      <c r="A97" s="1041">
        <v>18.7</v>
      </c>
      <c r="B97" s="34">
        <f t="shared" si="4"/>
        <v>7.12678160919537</v>
      </c>
    </row>
    <row r="98" spans="1:2" ht="13.5" thickBot="1">
      <c r="A98" s="1044">
        <v>18.8</v>
      </c>
      <c r="B98" s="34">
        <f t="shared" si="4"/>
        <v>7.241724137931001</v>
      </c>
    </row>
    <row r="99" spans="1:2" ht="12.75">
      <c r="A99" s="1041">
        <v>18.9</v>
      </c>
      <c r="B99" s="34">
        <f t="shared" si="4"/>
        <v>7.356666666666633</v>
      </c>
    </row>
    <row r="100" spans="1:2" ht="13.5" thickBot="1">
      <c r="A100" s="1044">
        <v>19</v>
      </c>
      <c r="B100" s="34">
        <f t="shared" si="4"/>
        <v>7.471609195402264</v>
      </c>
    </row>
    <row r="101" spans="1:2" ht="12.75">
      <c r="A101" s="1041">
        <v>19.1</v>
      </c>
      <c r="B101" s="34">
        <f t="shared" si="4"/>
        <v>7.5865517241378955</v>
      </c>
    </row>
    <row r="102" spans="1:2" ht="13.5" thickBot="1">
      <c r="A102" s="1044">
        <v>19.2</v>
      </c>
      <c r="B102" s="34">
        <f t="shared" si="4"/>
        <v>7.701494252873527</v>
      </c>
    </row>
    <row r="103" spans="1:2" ht="12.75">
      <c r="A103" s="1041">
        <v>19.3</v>
      </c>
      <c r="B103" s="34">
        <f t="shared" si="4"/>
        <v>7.816436781609158</v>
      </c>
    </row>
    <row r="104" spans="1:2" ht="13.5" thickBot="1">
      <c r="A104" s="1044">
        <v>19.4</v>
      </c>
      <c r="B104" s="34">
        <f t="shared" si="4"/>
        <v>7.93137931034479</v>
      </c>
    </row>
    <row r="105" spans="1:2" ht="12.75">
      <c r="A105" s="1041">
        <v>19.5</v>
      </c>
      <c r="B105" s="34">
        <f t="shared" si="4"/>
        <v>8.046321839080422</v>
      </c>
    </row>
    <row r="106" spans="1:2" ht="13.5" thickBot="1">
      <c r="A106" s="1044">
        <v>19.6</v>
      </c>
      <c r="B106" s="34">
        <f aca="true" t="shared" si="5" ref="B106:B160">B105+$E$37</f>
        <v>8.161264367816054</v>
      </c>
    </row>
    <row r="107" spans="1:2" ht="12.75">
      <c r="A107" s="1041">
        <v>19.7</v>
      </c>
      <c r="B107" s="34">
        <f t="shared" si="5"/>
        <v>8.276206896551686</v>
      </c>
    </row>
    <row r="108" spans="1:2" ht="13.5" thickBot="1">
      <c r="A108" s="1044">
        <v>19.8</v>
      </c>
      <c r="B108" s="34">
        <f t="shared" si="5"/>
        <v>8.391149425287319</v>
      </c>
    </row>
    <row r="109" spans="1:2" ht="12.75">
      <c r="A109" s="1041">
        <v>19.9</v>
      </c>
      <c r="B109" s="34">
        <f t="shared" si="5"/>
        <v>8.506091954022951</v>
      </c>
    </row>
    <row r="110" spans="1:2" ht="13.5" thickBot="1">
      <c r="A110" s="1044">
        <v>20</v>
      </c>
      <c r="B110" s="34">
        <f t="shared" si="5"/>
        <v>8.621034482758583</v>
      </c>
    </row>
    <row r="111" spans="1:2" ht="12.75">
      <c r="A111" s="1041">
        <v>20.1</v>
      </c>
      <c r="B111" s="34">
        <f t="shared" si="5"/>
        <v>8.735977011494215</v>
      </c>
    </row>
    <row r="112" spans="1:2" ht="13.5" thickBot="1">
      <c r="A112" s="1044">
        <v>20.2</v>
      </c>
      <c r="B112" s="34">
        <f t="shared" si="5"/>
        <v>8.850919540229848</v>
      </c>
    </row>
    <row r="113" spans="1:2" ht="12.75">
      <c r="A113" s="1041">
        <v>20.3</v>
      </c>
      <c r="B113" s="34">
        <f t="shared" si="5"/>
        <v>8.96586206896548</v>
      </c>
    </row>
    <row r="114" spans="1:2" ht="13.5" thickBot="1">
      <c r="A114" s="1044">
        <v>20.4</v>
      </c>
      <c r="B114" s="34">
        <f t="shared" si="5"/>
        <v>9.080804597701112</v>
      </c>
    </row>
    <row r="115" spans="1:2" ht="12.75">
      <c r="A115" s="1041">
        <v>20.5</v>
      </c>
      <c r="B115" s="34">
        <f t="shared" si="5"/>
        <v>9.195747126436745</v>
      </c>
    </row>
    <row r="116" spans="1:2" ht="13.5" thickBot="1">
      <c r="A116" s="1044">
        <v>20.6</v>
      </c>
      <c r="B116" s="34">
        <f t="shared" si="5"/>
        <v>9.310689655172377</v>
      </c>
    </row>
    <row r="117" spans="1:2" ht="12.75">
      <c r="A117" s="1041">
        <v>20.7</v>
      </c>
      <c r="B117" s="34">
        <f t="shared" si="5"/>
        <v>9.425632183908009</v>
      </c>
    </row>
    <row r="118" spans="1:2" ht="13.5" thickBot="1">
      <c r="A118" s="1044">
        <v>20.8</v>
      </c>
      <c r="B118" s="34">
        <f t="shared" si="5"/>
        <v>9.540574712643641</v>
      </c>
    </row>
    <row r="119" spans="1:2" ht="12.75">
      <c r="A119" s="1041">
        <v>20.9</v>
      </c>
      <c r="B119" s="34">
        <f t="shared" si="5"/>
        <v>9.655517241379274</v>
      </c>
    </row>
    <row r="120" spans="1:2" ht="13.5" thickBot="1">
      <c r="A120" s="1044">
        <v>21</v>
      </c>
      <c r="B120" s="34">
        <f t="shared" si="5"/>
        <v>9.770459770114906</v>
      </c>
    </row>
    <row r="121" spans="1:2" ht="12.75">
      <c r="A121" s="1041">
        <v>21.1</v>
      </c>
      <c r="B121" s="34">
        <f t="shared" si="5"/>
        <v>9.885402298850538</v>
      </c>
    </row>
    <row r="122" spans="1:2" ht="13.5" thickBot="1">
      <c r="A122" s="1044">
        <v>21.2</v>
      </c>
      <c r="B122" s="34">
        <f t="shared" si="5"/>
        <v>10.00034482758617</v>
      </c>
    </row>
    <row r="123" spans="1:2" ht="12.75">
      <c r="A123" s="1041">
        <v>21.3</v>
      </c>
      <c r="B123" s="34">
        <f t="shared" si="5"/>
        <v>10.115287356321803</v>
      </c>
    </row>
    <row r="124" spans="1:2" ht="13.5" thickBot="1">
      <c r="A124" s="1044">
        <v>21.4</v>
      </c>
      <c r="B124" s="34">
        <f t="shared" si="5"/>
        <v>10.230229885057435</v>
      </c>
    </row>
    <row r="125" spans="1:2" ht="12.75">
      <c r="A125" s="1041">
        <v>21.5</v>
      </c>
      <c r="B125" s="34">
        <f t="shared" si="5"/>
        <v>10.345172413793067</v>
      </c>
    </row>
    <row r="126" spans="1:2" ht="13.5" thickBot="1">
      <c r="A126" s="1044">
        <v>21.6</v>
      </c>
      <c r="B126" s="34">
        <f t="shared" si="5"/>
        <v>10.4601149425287</v>
      </c>
    </row>
    <row r="127" spans="1:2" ht="12.75">
      <c r="A127" s="1041">
        <v>21.7</v>
      </c>
      <c r="B127" s="34">
        <f t="shared" si="5"/>
        <v>10.575057471264332</v>
      </c>
    </row>
    <row r="128" spans="1:2" ht="13.5" thickBot="1">
      <c r="A128" s="1044">
        <v>21.8</v>
      </c>
      <c r="B128" s="34">
        <f t="shared" si="5"/>
        <v>10.689999999999964</v>
      </c>
    </row>
    <row r="129" spans="1:2" ht="12.75">
      <c r="A129" s="1041">
        <v>21.9</v>
      </c>
      <c r="B129" s="34">
        <f t="shared" si="5"/>
        <v>10.804942528735596</v>
      </c>
    </row>
    <row r="130" spans="1:2" ht="13.5" thickBot="1">
      <c r="A130" s="1044">
        <v>22</v>
      </c>
      <c r="B130" s="34">
        <f t="shared" si="5"/>
        <v>10.919885057471229</v>
      </c>
    </row>
    <row r="131" spans="1:2" ht="12.75">
      <c r="A131" s="1041">
        <v>22.1</v>
      </c>
      <c r="B131" s="34">
        <f t="shared" si="5"/>
        <v>11.03482758620686</v>
      </c>
    </row>
    <row r="132" spans="1:2" ht="13.5" thickBot="1">
      <c r="A132" s="1044">
        <v>22.2</v>
      </c>
      <c r="B132" s="34">
        <f t="shared" si="5"/>
        <v>11.149770114942493</v>
      </c>
    </row>
    <row r="133" spans="1:2" ht="12.75">
      <c r="A133" s="1041">
        <v>22.3</v>
      </c>
      <c r="B133" s="34">
        <f t="shared" si="5"/>
        <v>11.264712643678125</v>
      </c>
    </row>
    <row r="134" spans="1:2" ht="13.5" thickBot="1">
      <c r="A134" s="1044">
        <v>22.4</v>
      </c>
      <c r="B134" s="34">
        <f t="shared" si="5"/>
        <v>11.379655172413758</v>
      </c>
    </row>
    <row r="135" spans="1:2" ht="12.75">
      <c r="A135" s="1041">
        <v>22.5</v>
      </c>
      <c r="B135" s="34">
        <f t="shared" si="5"/>
        <v>11.49459770114939</v>
      </c>
    </row>
    <row r="136" spans="1:2" ht="13.5" thickBot="1">
      <c r="A136" s="1044">
        <v>22.6</v>
      </c>
      <c r="B136" s="34">
        <f t="shared" si="5"/>
        <v>11.609540229885022</v>
      </c>
    </row>
    <row r="137" spans="1:2" ht="12.75">
      <c r="A137" s="1041">
        <v>22.7</v>
      </c>
      <c r="B137" s="34">
        <f t="shared" si="5"/>
        <v>11.724482758620654</v>
      </c>
    </row>
    <row r="138" spans="1:2" ht="13.5" thickBot="1">
      <c r="A138" s="1044">
        <v>22.8</v>
      </c>
      <c r="B138" s="34">
        <f t="shared" si="5"/>
        <v>11.839425287356287</v>
      </c>
    </row>
    <row r="139" spans="1:2" ht="12.75">
      <c r="A139" s="1041">
        <v>22.9</v>
      </c>
      <c r="B139" s="34">
        <f t="shared" si="5"/>
        <v>11.954367816091919</v>
      </c>
    </row>
    <row r="140" spans="1:2" ht="13.5" thickBot="1">
      <c r="A140" s="1044">
        <v>23</v>
      </c>
      <c r="B140" s="34">
        <f t="shared" si="5"/>
        <v>12.069310344827551</v>
      </c>
    </row>
    <row r="141" spans="1:2" ht="12.75">
      <c r="A141" s="1041">
        <v>23.1</v>
      </c>
      <c r="B141" s="34">
        <f t="shared" si="5"/>
        <v>12.184252873563183</v>
      </c>
    </row>
    <row r="142" spans="1:2" ht="13.5" thickBot="1">
      <c r="A142" s="1044">
        <v>23.2</v>
      </c>
      <c r="B142" s="34">
        <f t="shared" si="5"/>
        <v>12.299195402298816</v>
      </c>
    </row>
    <row r="143" spans="1:2" ht="12.75">
      <c r="A143" s="1041">
        <v>23.3</v>
      </c>
      <c r="B143" s="34">
        <f t="shared" si="5"/>
        <v>12.414137931034448</v>
      </c>
    </row>
    <row r="144" spans="1:2" ht="13.5" thickBot="1">
      <c r="A144" s="1044">
        <v>23.4</v>
      </c>
      <c r="B144" s="34">
        <f t="shared" si="5"/>
        <v>12.52908045977008</v>
      </c>
    </row>
    <row r="145" spans="1:2" ht="12.75">
      <c r="A145" s="1041">
        <v>23.5</v>
      </c>
      <c r="B145" s="34">
        <f t="shared" si="5"/>
        <v>12.644022988505712</v>
      </c>
    </row>
    <row r="146" spans="1:2" ht="13.5" thickBot="1">
      <c r="A146" s="1044">
        <v>23.6</v>
      </c>
      <c r="B146" s="34">
        <f t="shared" si="5"/>
        <v>12.758965517241345</v>
      </c>
    </row>
    <row r="147" spans="1:2" ht="12.75">
      <c r="A147" s="1041">
        <v>23.7</v>
      </c>
      <c r="B147" s="34">
        <f t="shared" si="5"/>
        <v>12.873908045976977</v>
      </c>
    </row>
    <row r="148" spans="1:2" ht="13.5" thickBot="1">
      <c r="A148" s="1044">
        <v>23.8</v>
      </c>
      <c r="B148" s="34">
        <f t="shared" si="5"/>
        <v>12.98885057471261</v>
      </c>
    </row>
    <row r="149" spans="1:2" ht="12.75">
      <c r="A149" s="1041">
        <v>23.9</v>
      </c>
      <c r="B149" s="34">
        <f t="shared" si="5"/>
        <v>13.103793103448242</v>
      </c>
    </row>
    <row r="150" spans="1:2" ht="13.5" thickBot="1">
      <c r="A150" s="1044">
        <v>24</v>
      </c>
      <c r="B150" s="34">
        <f t="shared" si="5"/>
        <v>13.218735632183874</v>
      </c>
    </row>
    <row r="151" spans="1:2" ht="12.75">
      <c r="A151" s="1041">
        <v>24.1</v>
      </c>
      <c r="B151" s="34">
        <f t="shared" si="5"/>
        <v>13.333678160919506</v>
      </c>
    </row>
    <row r="152" spans="1:2" ht="13.5" thickBot="1">
      <c r="A152" s="1044">
        <v>24.2</v>
      </c>
      <c r="B152" s="34">
        <f t="shared" si="5"/>
        <v>13.448620689655138</v>
      </c>
    </row>
    <row r="153" spans="1:2" ht="12.75">
      <c r="A153" s="1041">
        <v>24.3</v>
      </c>
      <c r="B153" s="34">
        <f t="shared" si="5"/>
        <v>13.56356321839077</v>
      </c>
    </row>
    <row r="154" spans="1:2" ht="13.5" thickBot="1">
      <c r="A154" s="1044">
        <v>24.4</v>
      </c>
      <c r="B154" s="34">
        <f t="shared" si="5"/>
        <v>13.678505747126403</v>
      </c>
    </row>
    <row r="155" spans="1:2" ht="12.75">
      <c r="A155" s="1041">
        <v>24.5</v>
      </c>
      <c r="B155" s="34">
        <f t="shared" si="5"/>
        <v>13.793448275862035</v>
      </c>
    </row>
    <row r="156" spans="1:2" ht="13.5" thickBot="1">
      <c r="A156" s="1044">
        <v>24.6</v>
      </c>
      <c r="B156" s="34">
        <f t="shared" si="5"/>
        <v>13.908390804597667</v>
      </c>
    </row>
    <row r="157" spans="1:2" ht="12.75">
      <c r="A157" s="1041">
        <v>24.7</v>
      </c>
      <c r="B157" s="34">
        <f t="shared" si="5"/>
        <v>14.0233333333333</v>
      </c>
    </row>
    <row r="158" spans="1:2" ht="13.5" thickBot="1">
      <c r="A158" s="1044">
        <v>24.8</v>
      </c>
      <c r="B158" s="34">
        <f t="shared" si="5"/>
        <v>14.138275862068932</v>
      </c>
    </row>
    <row r="159" spans="1:2" ht="12.75">
      <c r="A159" s="1041">
        <v>24.9</v>
      </c>
      <c r="B159" s="34">
        <f t="shared" si="5"/>
        <v>14.253218390804564</v>
      </c>
    </row>
    <row r="160" spans="1:2" ht="13.5" thickBot="1">
      <c r="A160" s="1044">
        <v>25</v>
      </c>
      <c r="B160" s="34">
        <f t="shared" si="5"/>
        <v>14.368160919540196</v>
      </c>
    </row>
  </sheetData>
  <sheetProtection/>
  <mergeCells count="1">
    <mergeCell ref="A1:H1"/>
  </mergeCells>
  <printOptions/>
  <pageMargins left="0.75" right="0.75" top="1" bottom="1" header="0" footer="0"/>
  <pageSetup orientation="portrait" paperSize="9"/>
</worksheet>
</file>

<file path=xl/worksheets/sheet31.xml><?xml version="1.0" encoding="utf-8"?>
<worksheet xmlns="http://schemas.openxmlformats.org/spreadsheetml/2006/main" xmlns:r="http://schemas.openxmlformats.org/officeDocument/2006/relationships">
  <dimension ref="A1:H33"/>
  <sheetViews>
    <sheetView zoomScalePageLayoutView="0" workbookViewId="0" topLeftCell="A1">
      <selection activeCell="G11" sqref="G11"/>
    </sheetView>
  </sheetViews>
  <sheetFormatPr defaultColWidth="11.421875" defaultRowHeight="12.75"/>
  <sheetData>
    <row r="1" spans="1:8" ht="15.75">
      <c r="A1" s="1254" t="s">
        <v>480</v>
      </c>
      <c r="B1" s="1254"/>
      <c r="C1" s="1254"/>
      <c r="D1" s="1254"/>
      <c r="E1" s="1254"/>
      <c r="F1" s="1254"/>
      <c r="G1" s="1254"/>
      <c r="H1" s="1254"/>
    </row>
    <row r="2" spans="1:8" ht="13.5" thickBot="1">
      <c r="A2" s="1058"/>
      <c r="B2" s="1058"/>
      <c r="C2" s="1058"/>
      <c r="D2" s="1058"/>
      <c r="E2" s="1058"/>
      <c r="F2" s="1058"/>
      <c r="G2" s="1058"/>
      <c r="H2" s="1058"/>
    </row>
    <row r="3" spans="1:8" ht="12.75">
      <c r="A3" s="1001" t="s">
        <v>735</v>
      </c>
      <c r="B3" s="1026" t="s">
        <v>735</v>
      </c>
      <c r="C3" s="1001" t="s">
        <v>735</v>
      </c>
      <c r="D3" s="1002" t="s">
        <v>735</v>
      </c>
      <c r="E3" s="1026" t="s">
        <v>735</v>
      </c>
      <c r="F3" s="1002" t="s">
        <v>735</v>
      </c>
      <c r="G3" s="1026" t="s">
        <v>735</v>
      </c>
      <c r="H3" s="1002" t="s">
        <v>735</v>
      </c>
    </row>
    <row r="4" spans="1:8" ht="13.5" thickBot="1">
      <c r="A4" s="1027" t="s">
        <v>413</v>
      </c>
      <c r="B4" s="1028" t="s">
        <v>414</v>
      </c>
      <c r="C4" s="1027" t="s">
        <v>413</v>
      </c>
      <c r="D4" s="1029" t="s">
        <v>414</v>
      </c>
      <c r="E4" s="1028" t="s">
        <v>413</v>
      </c>
      <c r="F4" s="1029" t="s">
        <v>414</v>
      </c>
      <c r="G4" s="1028" t="s">
        <v>413</v>
      </c>
      <c r="H4" s="1029" t="s">
        <v>414</v>
      </c>
    </row>
    <row r="5" spans="1:8" ht="12.75">
      <c r="A5" s="1031">
        <v>15.1</v>
      </c>
      <c r="B5" s="1032">
        <v>1.85</v>
      </c>
      <c r="C5" s="1033">
        <v>17.6</v>
      </c>
      <c r="D5" s="1032">
        <f>B29+D33</f>
        <v>4.7911764705882245</v>
      </c>
      <c r="E5" s="1033">
        <v>20.1</v>
      </c>
      <c r="F5" s="1032">
        <f>D29+D33</f>
        <v>7.732352941176449</v>
      </c>
      <c r="G5" s="1033">
        <v>22.6</v>
      </c>
      <c r="H5" s="1047">
        <f>F29+D33</f>
        <v>10.673529411764674</v>
      </c>
    </row>
    <row r="6" spans="1:8" ht="12.75">
      <c r="A6" s="1039">
        <v>15.2</v>
      </c>
      <c r="B6" s="34">
        <f aca="true" t="shared" si="0" ref="B6:B29">B5+$D$33</f>
        <v>1.967647058823529</v>
      </c>
      <c r="C6" s="1040">
        <v>17.7</v>
      </c>
      <c r="D6" s="34">
        <f aca="true" t="shared" si="1" ref="D6:D29">D5+$D$33</f>
        <v>4.9088235294117535</v>
      </c>
      <c r="E6" s="1040">
        <v>20.2</v>
      </c>
      <c r="F6" s="34">
        <f aca="true" t="shared" si="2" ref="F6:F29">F5+$D$33</f>
        <v>7.849999999999978</v>
      </c>
      <c r="G6" s="1040">
        <v>22.7</v>
      </c>
      <c r="H6" s="121">
        <f aca="true" t="shared" si="3" ref="H6:H29">H5+$D$33</f>
        <v>10.791176470588203</v>
      </c>
    </row>
    <row r="7" spans="1:8" ht="12.75">
      <c r="A7" s="1041">
        <v>15.3</v>
      </c>
      <c r="B7" s="34">
        <f t="shared" si="0"/>
        <v>2.085294117647058</v>
      </c>
      <c r="C7" s="1042">
        <v>17.8</v>
      </c>
      <c r="D7" s="34">
        <f t="shared" si="1"/>
        <v>5.0264705882352825</v>
      </c>
      <c r="E7" s="1042">
        <v>20.3</v>
      </c>
      <c r="F7" s="34">
        <f t="shared" si="2"/>
        <v>7.967647058823507</v>
      </c>
      <c r="G7" s="1042">
        <v>22.8</v>
      </c>
      <c r="H7" s="121">
        <f t="shared" si="3"/>
        <v>10.908823529411732</v>
      </c>
    </row>
    <row r="8" spans="1:8" ht="12.75">
      <c r="A8" s="1039">
        <v>15.4</v>
      </c>
      <c r="B8" s="34">
        <f t="shared" si="0"/>
        <v>2.202941176470587</v>
      </c>
      <c r="C8" s="1040">
        <v>17.9</v>
      </c>
      <c r="D8" s="34">
        <f t="shared" si="1"/>
        <v>5.1441176470588115</v>
      </c>
      <c r="E8" s="1040">
        <v>20.4</v>
      </c>
      <c r="F8" s="34">
        <f t="shared" si="2"/>
        <v>8.085294117647036</v>
      </c>
      <c r="G8" s="1040">
        <v>22.9</v>
      </c>
      <c r="H8" s="121">
        <f t="shared" si="3"/>
        <v>11.026470588235261</v>
      </c>
    </row>
    <row r="9" spans="1:8" ht="12.75">
      <c r="A9" s="1041">
        <v>15.5</v>
      </c>
      <c r="B9" s="34">
        <f t="shared" si="0"/>
        <v>2.320588235294116</v>
      </c>
      <c r="C9" s="1042">
        <v>18</v>
      </c>
      <c r="D9" s="34">
        <f t="shared" si="1"/>
        <v>5.2617647058823405</v>
      </c>
      <c r="E9" s="1042">
        <v>20.5</v>
      </c>
      <c r="F9" s="34">
        <f t="shared" si="2"/>
        <v>8.202941176470565</v>
      </c>
      <c r="G9" s="1042">
        <v>23</v>
      </c>
      <c r="H9" s="121">
        <f t="shared" si="3"/>
        <v>11.14411764705879</v>
      </c>
    </row>
    <row r="10" spans="1:8" ht="12.75">
      <c r="A10" s="1039">
        <v>15.6</v>
      </c>
      <c r="B10" s="34">
        <f t="shared" si="0"/>
        <v>2.438235294117645</v>
      </c>
      <c r="C10" s="1040">
        <v>18.1</v>
      </c>
      <c r="D10" s="34">
        <f t="shared" si="1"/>
        <v>5.3794117647058695</v>
      </c>
      <c r="E10" s="1040">
        <v>20.6</v>
      </c>
      <c r="F10" s="34">
        <f t="shared" si="2"/>
        <v>8.320588235294094</v>
      </c>
      <c r="G10" s="1040">
        <v>23.1</v>
      </c>
      <c r="H10" s="121">
        <f t="shared" si="3"/>
        <v>11.26176470588232</v>
      </c>
    </row>
    <row r="11" spans="1:8" ht="12.75">
      <c r="A11" s="1041">
        <v>15.7</v>
      </c>
      <c r="B11" s="34">
        <f t="shared" si="0"/>
        <v>2.555882352941174</v>
      </c>
      <c r="C11" s="1042">
        <v>18.2</v>
      </c>
      <c r="D11" s="34">
        <f t="shared" si="1"/>
        <v>5.4970588235293985</v>
      </c>
      <c r="E11" s="1042">
        <v>20.7</v>
      </c>
      <c r="F11" s="34">
        <f t="shared" si="2"/>
        <v>8.438235294117623</v>
      </c>
      <c r="G11" s="1042">
        <v>23.2</v>
      </c>
      <c r="H11" s="121">
        <f t="shared" si="3"/>
        <v>11.379411764705848</v>
      </c>
    </row>
    <row r="12" spans="1:8" ht="12.75">
      <c r="A12" s="1039">
        <v>15.8</v>
      </c>
      <c r="B12" s="34">
        <f t="shared" si="0"/>
        <v>2.673529411764703</v>
      </c>
      <c r="C12" s="1040">
        <v>18.3</v>
      </c>
      <c r="D12" s="34">
        <f t="shared" si="1"/>
        <v>5.6147058823529274</v>
      </c>
      <c r="E12" s="1040">
        <v>20.8</v>
      </c>
      <c r="F12" s="34">
        <f t="shared" si="2"/>
        <v>8.555882352941152</v>
      </c>
      <c r="G12" s="1040">
        <v>23.3</v>
      </c>
      <c r="H12" s="121">
        <f t="shared" si="3"/>
        <v>11.497058823529377</v>
      </c>
    </row>
    <row r="13" spans="1:8" ht="12.75">
      <c r="A13" s="1041">
        <v>15.9</v>
      </c>
      <c r="B13" s="34">
        <f t="shared" si="0"/>
        <v>2.791176470588232</v>
      </c>
      <c r="C13" s="1042">
        <v>18.4</v>
      </c>
      <c r="D13" s="34">
        <f t="shared" si="1"/>
        <v>5.732352941176456</v>
      </c>
      <c r="E13" s="1042">
        <v>20.9</v>
      </c>
      <c r="F13" s="34">
        <f t="shared" si="2"/>
        <v>8.673529411764681</v>
      </c>
      <c r="G13" s="1042">
        <v>23.4</v>
      </c>
      <c r="H13" s="121">
        <f t="shared" si="3"/>
        <v>11.614705882352906</v>
      </c>
    </row>
    <row r="14" spans="1:8" ht="12.75">
      <c r="A14" s="1039">
        <v>16</v>
      </c>
      <c r="B14" s="34">
        <f t="shared" si="0"/>
        <v>2.908823529411761</v>
      </c>
      <c r="C14" s="1040">
        <v>18.5</v>
      </c>
      <c r="D14" s="34">
        <f t="shared" si="1"/>
        <v>5.849999999999985</v>
      </c>
      <c r="E14" s="1040">
        <v>21</v>
      </c>
      <c r="F14" s="34">
        <f t="shared" si="2"/>
        <v>8.79117647058821</v>
      </c>
      <c r="G14" s="1040">
        <v>23.5</v>
      </c>
      <c r="H14" s="121">
        <f t="shared" si="3"/>
        <v>11.732352941176435</v>
      </c>
    </row>
    <row r="15" spans="1:8" ht="12.75">
      <c r="A15" s="1041">
        <v>16.1</v>
      </c>
      <c r="B15" s="34">
        <f t="shared" si="0"/>
        <v>3.02647058823529</v>
      </c>
      <c r="C15" s="1042">
        <v>18.6</v>
      </c>
      <c r="D15" s="34">
        <f t="shared" si="1"/>
        <v>5.967647058823514</v>
      </c>
      <c r="E15" s="1042">
        <v>21.1</v>
      </c>
      <c r="F15" s="34">
        <f t="shared" si="2"/>
        <v>8.90882352941174</v>
      </c>
      <c r="G15" s="1042">
        <v>23.6</v>
      </c>
      <c r="H15" s="121">
        <f t="shared" si="3"/>
        <v>11.849999999999964</v>
      </c>
    </row>
    <row r="16" spans="1:8" ht="12.75">
      <c r="A16" s="1039">
        <v>16.2</v>
      </c>
      <c r="B16" s="34">
        <f t="shared" si="0"/>
        <v>3.144117647058819</v>
      </c>
      <c r="C16" s="1040">
        <v>18.7</v>
      </c>
      <c r="D16" s="34">
        <f t="shared" si="1"/>
        <v>6.085294117647043</v>
      </c>
      <c r="E16" s="1040">
        <v>21.2</v>
      </c>
      <c r="F16" s="34">
        <f t="shared" si="2"/>
        <v>9.026470588235268</v>
      </c>
      <c r="G16" s="1040">
        <v>23.7</v>
      </c>
      <c r="H16" s="121">
        <f t="shared" si="3"/>
        <v>11.967647058823493</v>
      </c>
    </row>
    <row r="17" spans="1:8" ht="12.75">
      <c r="A17" s="1041">
        <v>16.3</v>
      </c>
      <c r="B17" s="34">
        <f t="shared" si="0"/>
        <v>3.261764705882348</v>
      </c>
      <c r="C17" s="1042">
        <v>18.8</v>
      </c>
      <c r="D17" s="34">
        <f t="shared" si="1"/>
        <v>6.202941176470572</v>
      </c>
      <c r="E17" s="1042">
        <v>21.3</v>
      </c>
      <c r="F17" s="34">
        <f t="shared" si="2"/>
        <v>9.144117647058797</v>
      </c>
      <c r="G17" s="1042">
        <v>23.8</v>
      </c>
      <c r="H17" s="121">
        <f t="shared" si="3"/>
        <v>12.085294117647022</v>
      </c>
    </row>
    <row r="18" spans="1:8" ht="12.75">
      <c r="A18" s="1039">
        <v>16.4</v>
      </c>
      <c r="B18" s="34">
        <f t="shared" si="0"/>
        <v>3.379411764705877</v>
      </c>
      <c r="C18" s="1040">
        <v>18.9</v>
      </c>
      <c r="D18" s="34">
        <f t="shared" si="1"/>
        <v>6.320588235294101</v>
      </c>
      <c r="E18" s="1040">
        <v>21.4</v>
      </c>
      <c r="F18" s="34">
        <f t="shared" si="2"/>
        <v>9.261764705882326</v>
      </c>
      <c r="G18" s="1040">
        <v>23.9</v>
      </c>
      <c r="H18" s="121">
        <f t="shared" si="3"/>
        <v>12.202941176470551</v>
      </c>
    </row>
    <row r="19" spans="1:8" ht="12.75">
      <c r="A19" s="1041">
        <v>16.5</v>
      </c>
      <c r="B19" s="34">
        <f t="shared" si="0"/>
        <v>3.497058823529406</v>
      </c>
      <c r="C19" s="1042">
        <v>19</v>
      </c>
      <c r="D19" s="34">
        <f t="shared" si="1"/>
        <v>6.43823529411763</v>
      </c>
      <c r="E19" s="1042">
        <v>21.5</v>
      </c>
      <c r="F19" s="34">
        <f t="shared" si="2"/>
        <v>9.379411764705855</v>
      </c>
      <c r="G19" s="1042">
        <v>24</v>
      </c>
      <c r="H19" s="121">
        <f t="shared" si="3"/>
        <v>12.32058823529408</v>
      </c>
    </row>
    <row r="20" spans="1:8" ht="12.75">
      <c r="A20" s="1039">
        <v>16.6</v>
      </c>
      <c r="B20" s="34">
        <f t="shared" si="0"/>
        <v>3.614705882352935</v>
      </c>
      <c r="C20" s="1040">
        <v>19.1</v>
      </c>
      <c r="D20" s="34">
        <f t="shared" si="1"/>
        <v>6.555882352941159</v>
      </c>
      <c r="E20" s="1040">
        <v>21.6</v>
      </c>
      <c r="F20" s="34">
        <f t="shared" si="2"/>
        <v>9.497058823529384</v>
      </c>
      <c r="G20" s="1040">
        <v>24.1</v>
      </c>
      <c r="H20" s="121">
        <f t="shared" si="3"/>
        <v>12.438235294117609</v>
      </c>
    </row>
    <row r="21" spans="1:8" ht="12.75">
      <c r="A21" s="1041">
        <v>16.7</v>
      </c>
      <c r="B21" s="34">
        <f t="shared" si="0"/>
        <v>3.732352941176464</v>
      </c>
      <c r="C21" s="1042">
        <v>19.2</v>
      </c>
      <c r="D21" s="34">
        <f t="shared" si="1"/>
        <v>6.673529411764688</v>
      </c>
      <c r="E21" s="1042">
        <v>21.7</v>
      </c>
      <c r="F21" s="34">
        <f t="shared" si="2"/>
        <v>9.614705882352913</v>
      </c>
      <c r="G21" s="1042">
        <v>24.2</v>
      </c>
      <c r="H21" s="121">
        <f t="shared" si="3"/>
        <v>12.555882352941138</v>
      </c>
    </row>
    <row r="22" spans="1:8" ht="12.75">
      <c r="A22" s="1039">
        <v>16.8</v>
      </c>
      <c r="B22" s="34">
        <f t="shared" si="0"/>
        <v>3.849999999999993</v>
      </c>
      <c r="C22" s="1040">
        <v>19.3</v>
      </c>
      <c r="D22" s="34">
        <f t="shared" si="1"/>
        <v>6.791176470588217</v>
      </c>
      <c r="E22" s="1040">
        <v>21.8</v>
      </c>
      <c r="F22" s="34">
        <f t="shared" si="2"/>
        <v>9.732352941176442</v>
      </c>
      <c r="G22" s="1040">
        <v>24.3</v>
      </c>
      <c r="H22" s="121">
        <f t="shared" si="3"/>
        <v>12.673529411764667</v>
      </c>
    </row>
    <row r="23" spans="1:8" ht="12.75">
      <c r="A23" s="1041">
        <v>16.9</v>
      </c>
      <c r="B23" s="34">
        <f t="shared" si="0"/>
        <v>3.967647058823522</v>
      </c>
      <c r="C23" s="1042">
        <v>19.4</v>
      </c>
      <c r="D23" s="34">
        <f t="shared" si="1"/>
        <v>6.908823529411746</v>
      </c>
      <c r="E23" s="1042">
        <v>21.9</v>
      </c>
      <c r="F23" s="34">
        <f t="shared" si="2"/>
        <v>9.849999999999971</v>
      </c>
      <c r="G23" s="1042">
        <v>24.4</v>
      </c>
      <c r="H23" s="121">
        <f t="shared" si="3"/>
        <v>12.791176470588196</v>
      </c>
    </row>
    <row r="24" spans="1:8" ht="12.75">
      <c r="A24" s="1039">
        <v>17</v>
      </c>
      <c r="B24" s="34">
        <f t="shared" si="0"/>
        <v>4.0852941176470505</v>
      </c>
      <c r="C24" s="1040">
        <v>19.5</v>
      </c>
      <c r="D24" s="34">
        <f t="shared" si="1"/>
        <v>7.026470588235275</v>
      </c>
      <c r="E24" s="1040">
        <v>22</v>
      </c>
      <c r="F24" s="34">
        <f t="shared" si="2"/>
        <v>9.9676470588235</v>
      </c>
      <c r="G24" s="1040">
        <v>24.5</v>
      </c>
      <c r="H24" s="121">
        <f t="shared" si="3"/>
        <v>12.908823529411725</v>
      </c>
    </row>
    <row r="25" spans="1:8" ht="12.75">
      <c r="A25" s="1041">
        <v>17.1</v>
      </c>
      <c r="B25" s="34">
        <f t="shared" si="0"/>
        <v>4.2029411764705795</v>
      </c>
      <c r="C25" s="1042">
        <v>19.6</v>
      </c>
      <c r="D25" s="34">
        <f t="shared" si="1"/>
        <v>7.144117647058804</v>
      </c>
      <c r="E25" s="1042">
        <v>22.1</v>
      </c>
      <c r="F25" s="34">
        <f t="shared" si="2"/>
        <v>10.08529411764703</v>
      </c>
      <c r="G25" s="1042">
        <v>24.6</v>
      </c>
      <c r="H25" s="121">
        <f t="shared" si="3"/>
        <v>13.026470588235254</v>
      </c>
    </row>
    <row r="26" spans="1:8" ht="12.75">
      <c r="A26" s="1039">
        <v>17.2</v>
      </c>
      <c r="B26" s="34">
        <f t="shared" si="0"/>
        <v>4.3205882352941085</v>
      </c>
      <c r="C26" s="1040">
        <v>19.7</v>
      </c>
      <c r="D26" s="34">
        <f t="shared" si="1"/>
        <v>7.261764705882333</v>
      </c>
      <c r="E26" s="1040">
        <v>22.2</v>
      </c>
      <c r="F26" s="34">
        <f t="shared" si="2"/>
        <v>10.202941176470558</v>
      </c>
      <c r="G26" s="1040">
        <v>24.7</v>
      </c>
      <c r="H26" s="121">
        <f t="shared" si="3"/>
        <v>13.144117647058783</v>
      </c>
    </row>
    <row r="27" spans="1:8" ht="12.75">
      <c r="A27" s="1041">
        <v>17.3</v>
      </c>
      <c r="B27" s="34">
        <f t="shared" si="0"/>
        <v>4.4382352941176375</v>
      </c>
      <c r="C27" s="1042">
        <v>19.8</v>
      </c>
      <c r="D27" s="34">
        <f t="shared" si="1"/>
        <v>7.379411764705862</v>
      </c>
      <c r="E27" s="1042">
        <v>22.3</v>
      </c>
      <c r="F27" s="34">
        <f t="shared" si="2"/>
        <v>10.320588235294087</v>
      </c>
      <c r="G27" s="1042">
        <v>24.8</v>
      </c>
      <c r="H27" s="121">
        <f t="shared" si="3"/>
        <v>13.261764705882312</v>
      </c>
    </row>
    <row r="28" spans="1:8" ht="12.75">
      <c r="A28" s="1039">
        <v>17.4</v>
      </c>
      <c r="B28" s="34">
        <f t="shared" si="0"/>
        <v>4.5558823529411665</v>
      </c>
      <c r="C28" s="1040">
        <v>19.9</v>
      </c>
      <c r="D28" s="34">
        <f t="shared" si="1"/>
        <v>7.497058823529391</v>
      </c>
      <c r="E28" s="1040">
        <v>22.4</v>
      </c>
      <c r="F28" s="34">
        <f t="shared" si="2"/>
        <v>10.438235294117616</v>
      </c>
      <c r="G28" s="1040">
        <v>24.9</v>
      </c>
      <c r="H28" s="121">
        <f t="shared" si="3"/>
        <v>13.379411764705841</v>
      </c>
    </row>
    <row r="29" spans="1:8" ht="13.5" thickBot="1">
      <c r="A29" s="1048">
        <v>17.5</v>
      </c>
      <c r="B29" s="34">
        <f t="shared" si="0"/>
        <v>4.6735294117646955</v>
      </c>
      <c r="C29" s="1049">
        <v>20</v>
      </c>
      <c r="D29" s="34">
        <f t="shared" si="1"/>
        <v>7.61470588235292</v>
      </c>
      <c r="E29" s="1049">
        <v>22.5</v>
      </c>
      <c r="F29" s="34">
        <f t="shared" si="2"/>
        <v>10.555882352941145</v>
      </c>
      <c r="G29" s="1049">
        <v>25</v>
      </c>
      <c r="H29" s="121">
        <f t="shared" si="3"/>
        <v>13.49705882352937</v>
      </c>
    </row>
    <row r="31" ht="12.75">
      <c r="B31" t="s">
        <v>419</v>
      </c>
    </row>
    <row r="33" ht="12.75">
      <c r="D33">
        <f>((15.1-15)/(100-15))*100</f>
        <v>0.117647058823529</v>
      </c>
    </row>
  </sheetData>
  <sheetProtection/>
  <mergeCells count="1">
    <mergeCell ref="A1:H1"/>
  </mergeCells>
  <printOptions/>
  <pageMargins left="0.75" right="0.75" top="1" bottom="1" header="0" footer="0"/>
  <pageSetup horizontalDpi="120" verticalDpi="120" orientation="portrait" paperSize="9" r:id="rId1"/>
</worksheet>
</file>

<file path=xl/worksheets/sheet32.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C16" sqref="C16"/>
    </sheetView>
  </sheetViews>
  <sheetFormatPr defaultColWidth="11.421875" defaultRowHeight="12.75"/>
  <cols>
    <col min="4" max="4" width="16.7109375" style="0" customWidth="1"/>
    <col min="6" max="6" width="16.140625" style="0" customWidth="1"/>
    <col min="7" max="7" width="15.7109375" style="0" customWidth="1"/>
  </cols>
  <sheetData>
    <row r="1" spans="1:7" ht="12.75">
      <c r="A1" s="1255" t="s">
        <v>460</v>
      </c>
      <c r="B1" s="1256"/>
      <c r="C1" s="1256"/>
      <c r="D1" s="1256"/>
      <c r="E1" s="1256"/>
      <c r="F1" s="1256"/>
      <c r="G1" s="1257"/>
    </row>
    <row r="2" spans="1:7" ht="12.75">
      <c r="A2" s="1258" t="s">
        <v>461</v>
      </c>
      <c r="B2" s="1255" t="s">
        <v>462</v>
      </c>
      <c r="C2" s="1256"/>
      <c r="D2" s="1257"/>
      <c r="E2" s="1255" t="s">
        <v>463</v>
      </c>
      <c r="F2" s="1256"/>
      <c r="G2" s="1257"/>
    </row>
    <row r="3" spans="1:7" ht="12.75">
      <c r="A3" s="1259"/>
      <c r="B3" s="1258" t="s">
        <v>464</v>
      </c>
      <c r="C3" s="1064" t="s">
        <v>465</v>
      </c>
      <c r="D3" s="1064" t="s">
        <v>467</v>
      </c>
      <c r="E3" s="1258" t="s">
        <v>464</v>
      </c>
      <c r="F3" s="1064" t="s">
        <v>467</v>
      </c>
      <c r="G3" s="1064" t="s">
        <v>467</v>
      </c>
    </row>
    <row r="4" spans="1:7" ht="12.75">
      <c r="A4" s="1259"/>
      <c r="B4" s="1259"/>
      <c r="C4" s="1065"/>
      <c r="D4" s="1065"/>
      <c r="E4" s="1259"/>
      <c r="F4" s="1065"/>
      <c r="G4" s="1065"/>
    </row>
    <row r="5" spans="1:7" ht="12.75">
      <c r="A5" s="1260"/>
      <c r="B5" s="1260"/>
      <c r="C5" s="1066" t="s">
        <v>466</v>
      </c>
      <c r="D5" s="1067">
        <v>38991</v>
      </c>
      <c r="E5" s="1260"/>
      <c r="F5" s="1067">
        <v>38626</v>
      </c>
      <c r="G5" s="1067">
        <v>38991</v>
      </c>
    </row>
    <row r="6" spans="1:7" ht="12.75">
      <c r="A6" s="1068">
        <v>1</v>
      </c>
      <c r="B6" s="1069" t="s">
        <v>468</v>
      </c>
      <c r="C6" s="1069" t="s">
        <v>469</v>
      </c>
      <c r="D6" s="1069" t="s">
        <v>470</v>
      </c>
      <c r="E6" s="1069" t="s">
        <v>471</v>
      </c>
      <c r="F6" s="1069" t="s">
        <v>472</v>
      </c>
      <c r="G6" s="1069" t="s">
        <v>473</v>
      </c>
    </row>
    <row r="7" spans="1:7" ht="12.75">
      <c r="A7" s="1068">
        <v>2</v>
      </c>
      <c r="B7" s="1069" t="s">
        <v>474</v>
      </c>
      <c r="C7" s="1069">
        <v>1</v>
      </c>
      <c r="D7" s="1069" t="s">
        <v>472</v>
      </c>
      <c r="E7" s="1069">
        <v>3</v>
      </c>
      <c r="F7" s="1069" t="s">
        <v>475</v>
      </c>
      <c r="G7" s="1069" t="s">
        <v>476</v>
      </c>
    </row>
    <row r="8" spans="1:7" ht="12.75">
      <c r="A8" s="1068">
        <v>3</v>
      </c>
      <c r="B8" s="1069">
        <v>3</v>
      </c>
      <c r="C8" s="1069" t="s">
        <v>477</v>
      </c>
      <c r="D8" s="1069" t="s">
        <v>471</v>
      </c>
      <c r="E8" s="1069">
        <v>5</v>
      </c>
      <c r="F8" s="1069" t="s">
        <v>478</v>
      </c>
      <c r="G8" s="1069">
        <v>2</v>
      </c>
    </row>
  </sheetData>
  <sheetProtection/>
  <mergeCells count="6">
    <mergeCell ref="A1:G1"/>
    <mergeCell ref="A2:A5"/>
    <mergeCell ref="B2:D2"/>
    <mergeCell ref="E2:G2"/>
    <mergeCell ref="B3:B5"/>
    <mergeCell ref="E3:E5"/>
  </mergeCells>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1:H38"/>
  <sheetViews>
    <sheetView zoomScalePageLayoutView="0" workbookViewId="0" topLeftCell="A3">
      <selection activeCell="A5" sqref="A5:IV5"/>
    </sheetView>
  </sheetViews>
  <sheetFormatPr defaultColWidth="11.421875" defaultRowHeight="12.75"/>
  <sheetData>
    <row r="1" spans="1:8" ht="15.75">
      <c r="A1" s="1261" t="s">
        <v>479</v>
      </c>
      <c r="B1" s="1261"/>
      <c r="C1" s="1261"/>
      <c r="D1" s="1261"/>
      <c r="E1" s="1261"/>
      <c r="F1" s="1261"/>
      <c r="G1" s="1261"/>
      <c r="H1" s="1261"/>
    </row>
    <row r="2" spans="1:8" ht="15.75">
      <c r="A2" s="1261" t="s">
        <v>481</v>
      </c>
      <c r="B2" s="1261"/>
      <c r="C2" s="1261"/>
      <c r="D2" s="1261"/>
      <c r="E2" s="1261"/>
      <c r="F2" s="1261"/>
      <c r="G2" s="1261"/>
      <c r="H2" s="1261"/>
    </row>
    <row r="3" spans="1:8" ht="13.5" thickBot="1">
      <c r="A3" s="1059"/>
      <c r="B3" s="1059"/>
      <c r="C3" s="1059"/>
      <c r="D3" s="1059"/>
      <c r="E3" s="1059"/>
      <c r="F3" s="1059"/>
      <c r="G3" s="1059"/>
      <c r="H3" s="1059"/>
    </row>
    <row r="4" spans="1:8" ht="12.75">
      <c r="A4" s="1001" t="s">
        <v>735</v>
      </c>
      <c r="B4" s="1026" t="s">
        <v>735</v>
      </c>
      <c r="C4" s="1001" t="s">
        <v>735</v>
      </c>
      <c r="D4" s="1002" t="s">
        <v>735</v>
      </c>
      <c r="E4" s="1026" t="s">
        <v>735</v>
      </c>
      <c r="F4" s="1002" t="s">
        <v>735</v>
      </c>
      <c r="G4" s="1026" t="s">
        <v>735</v>
      </c>
      <c r="H4" s="1002" t="s">
        <v>735</v>
      </c>
    </row>
    <row r="5" spans="1:8" ht="13.5" thickBot="1">
      <c r="A5" s="1027" t="s">
        <v>413</v>
      </c>
      <c r="B5" s="1028" t="s">
        <v>414</v>
      </c>
      <c r="C5" s="1027" t="s">
        <v>413</v>
      </c>
      <c r="D5" s="1029" t="s">
        <v>414</v>
      </c>
      <c r="E5" s="1028" t="s">
        <v>413</v>
      </c>
      <c r="F5" s="1029" t="s">
        <v>414</v>
      </c>
      <c r="G5" s="1028" t="s">
        <v>413</v>
      </c>
      <c r="H5" s="1029" t="s">
        <v>414</v>
      </c>
    </row>
    <row r="6" spans="1:8" ht="12.75">
      <c r="A6" s="1031">
        <v>14.1</v>
      </c>
      <c r="B6" s="1032">
        <v>0.69</v>
      </c>
      <c r="C6" s="1033">
        <v>16.9</v>
      </c>
      <c r="D6" s="1032">
        <f>B33+D38</f>
        <v>3.9458139534883627</v>
      </c>
      <c r="E6" s="1030">
        <v>19.7</v>
      </c>
      <c r="F6" s="1032">
        <f>D33+D38</f>
        <v>7.201627906976716</v>
      </c>
      <c r="G6" s="1030">
        <v>22.5</v>
      </c>
      <c r="H6" s="1035">
        <f>F33+D38</f>
        <v>10.457441860465089</v>
      </c>
    </row>
    <row r="7" spans="1:8" ht="12.75">
      <c r="A7" s="1039">
        <v>14.2</v>
      </c>
      <c r="B7" s="34">
        <f aca="true" t="shared" si="0" ref="B7:B33">B6+$D$38</f>
        <v>0.8062790697674413</v>
      </c>
      <c r="C7" s="1040">
        <v>17</v>
      </c>
      <c r="D7" s="34">
        <f aca="true" t="shared" si="1" ref="D7:D33">D6+$D$38</f>
        <v>4.062093023255804</v>
      </c>
      <c r="E7" s="1037">
        <v>19.8</v>
      </c>
      <c r="F7" s="34">
        <f aca="true" t="shared" si="2" ref="F7:F33">F6+$D$38</f>
        <v>7.317906976744157</v>
      </c>
      <c r="G7" s="1037">
        <v>22.6</v>
      </c>
      <c r="H7" s="1038">
        <f aca="true" t="shared" si="3" ref="H7:H31">H6+$D$38</f>
        <v>10.57372093023253</v>
      </c>
    </row>
    <row r="8" spans="1:8" ht="12.75">
      <c r="A8" s="1041">
        <v>14.3</v>
      </c>
      <c r="B8" s="34">
        <f t="shared" si="0"/>
        <v>0.9225581395348827</v>
      </c>
      <c r="C8" s="1042">
        <v>17.1</v>
      </c>
      <c r="D8" s="34">
        <f t="shared" si="1"/>
        <v>4.1783720930232455</v>
      </c>
      <c r="E8" s="1030">
        <v>19.9</v>
      </c>
      <c r="F8" s="34">
        <f t="shared" si="2"/>
        <v>7.4341860465115985</v>
      </c>
      <c r="G8" s="1030">
        <v>22.7</v>
      </c>
      <c r="H8" s="1038">
        <f t="shared" si="3"/>
        <v>10.689999999999973</v>
      </c>
    </row>
    <row r="9" spans="1:8" ht="12.75">
      <c r="A9" s="1039">
        <v>14.4</v>
      </c>
      <c r="B9" s="34">
        <f t="shared" si="0"/>
        <v>1.0388372093023241</v>
      </c>
      <c r="C9" s="1040">
        <v>17.2</v>
      </c>
      <c r="D9" s="34">
        <f t="shared" si="1"/>
        <v>4.294651162790687</v>
      </c>
      <c r="E9" s="1037">
        <v>20</v>
      </c>
      <c r="F9" s="34">
        <f t="shared" si="2"/>
        <v>7.55046511627904</v>
      </c>
      <c r="G9" s="1037">
        <v>22.8</v>
      </c>
      <c r="H9" s="1038">
        <f t="shared" si="3"/>
        <v>10.806279069767415</v>
      </c>
    </row>
    <row r="10" spans="1:8" ht="12.75">
      <c r="A10" s="1041">
        <v>14.5</v>
      </c>
      <c r="B10" s="34">
        <f t="shared" si="0"/>
        <v>1.1551162790697656</v>
      </c>
      <c r="C10">
        <v>17.3</v>
      </c>
      <c r="D10" s="34">
        <f t="shared" si="1"/>
        <v>4.410930232558128</v>
      </c>
      <c r="E10" s="1030">
        <v>20.1</v>
      </c>
      <c r="F10" s="34">
        <f t="shared" si="2"/>
        <v>7.666744186046481</v>
      </c>
      <c r="G10" s="1030">
        <v>22.9</v>
      </c>
      <c r="H10" s="1038">
        <f t="shared" si="3"/>
        <v>10.922558139534857</v>
      </c>
    </row>
    <row r="11" spans="1:8" ht="12.75">
      <c r="A11" s="1039">
        <v>14.6</v>
      </c>
      <c r="B11" s="34">
        <f t="shared" si="0"/>
        <v>1.271395348837207</v>
      </c>
      <c r="C11" s="1042">
        <v>17.4</v>
      </c>
      <c r="D11" s="34">
        <f t="shared" si="1"/>
        <v>4.527209302325569</v>
      </c>
      <c r="E11" s="1037">
        <v>20.2</v>
      </c>
      <c r="F11" s="34">
        <f t="shared" si="2"/>
        <v>7.783023255813922</v>
      </c>
      <c r="G11" s="1037">
        <v>23</v>
      </c>
      <c r="H11" s="1038">
        <f t="shared" si="3"/>
        <v>11.038837209302299</v>
      </c>
    </row>
    <row r="12" spans="1:8" ht="12.75">
      <c r="A12" s="1041">
        <v>14.7</v>
      </c>
      <c r="B12" s="34">
        <f t="shared" si="0"/>
        <v>1.3876744186046484</v>
      </c>
      <c r="C12" s="1040">
        <v>17.5</v>
      </c>
      <c r="D12" s="34">
        <f t="shared" si="1"/>
        <v>4.64348837209301</v>
      </c>
      <c r="E12" s="1030">
        <v>20.3</v>
      </c>
      <c r="F12" s="34">
        <f t="shared" si="2"/>
        <v>7.899302325581363</v>
      </c>
      <c r="G12" s="1030">
        <v>23.1</v>
      </c>
      <c r="H12" s="1038">
        <f t="shared" si="3"/>
        <v>11.155116279069741</v>
      </c>
    </row>
    <row r="13" spans="1:8" ht="12.75">
      <c r="A13" s="1039">
        <v>14.8</v>
      </c>
      <c r="B13" s="34">
        <f t="shared" si="0"/>
        <v>1.5039534883720898</v>
      </c>
      <c r="C13" s="1042">
        <v>17.6</v>
      </c>
      <c r="D13" s="34">
        <f t="shared" si="1"/>
        <v>4.759767441860451</v>
      </c>
      <c r="E13" s="1037">
        <v>20.4</v>
      </c>
      <c r="F13" s="34">
        <f t="shared" si="2"/>
        <v>8.015581395348805</v>
      </c>
      <c r="G13" s="1037">
        <v>23.2</v>
      </c>
      <c r="H13" s="1038">
        <f t="shared" si="3"/>
        <v>11.271395348837183</v>
      </c>
    </row>
    <row r="14" spans="1:8" ht="12.75">
      <c r="A14" s="1041">
        <v>14.9</v>
      </c>
      <c r="B14" s="34">
        <f t="shared" si="0"/>
        <v>1.6202325581395312</v>
      </c>
      <c r="C14" s="1040">
        <v>17.7</v>
      </c>
      <c r="D14" s="34">
        <f t="shared" si="1"/>
        <v>4.876046511627893</v>
      </c>
      <c r="E14" s="1030">
        <v>20.5</v>
      </c>
      <c r="F14" s="34">
        <f t="shared" si="2"/>
        <v>8.131860465116247</v>
      </c>
      <c r="G14" s="1030">
        <v>23.3</v>
      </c>
      <c r="H14" s="1038">
        <f t="shared" si="3"/>
        <v>11.387674418604625</v>
      </c>
    </row>
    <row r="15" spans="1:8" ht="12.75">
      <c r="A15" s="1039">
        <v>15</v>
      </c>
      <c r="B15" s="34">
        <f t="shared" si="0"/>
        <v>1.7365116279069726</v>
      </c>
      <c r="C15" s="1042">
        <v>17.8</v>
      </c>
      <c r="D15" s="34">
        <f t="shared" si="1"/>
        <v>4.992325581395334</v>
      </c>
      <c r="E15" s="1037">
        <v>20.6</v>
      </c>
      <c r="F15" s="34">
        <f t="shared" si="2"/>
        <v>8.24813953488369</v>
      </c>
      <c r="G15" s="1037">
        <v>23.4</v>
      </c>
      <c r="H15" s="1038">
        <f t="shared" si="3"/>
        <v>11.503953488372067</v>
      </c>
    </row>
    <row r="16" spans="1:8" ht="12.75">
      <c r="A16" s="1041">
        <v>15.1</v>
      </c>
      <c r="B16" s="34">
        <f t="shared" si="0"/>
        <v>1.852790697674414</v>
      </c>
      <c r="C16" s="1040">
        <v>17.9</v>
      </c>
      <c r="D16" s="34">
        <f t="shared" si="1"/>
        <v>5.108604651162775</v>
      </c>
      <c r="E16" s="1030">
        <v>20.7</v>
      </c>
      <c r="F16" s="34">
        <f t="shared" si="2"/>
        <v>8.364418604651132</v>
      </c>
      <c r="G16" s="1030">
        <v>23.5</v>
      </c>
      <c r="H16" s="1038">
        <f t="shared" si="3"/>
        <v>11.62023255813951</v>
      </c>
    </row>
    <row r="17" spans="1:8" ht="12.75">
      <c r="A17" s="1039">
        <v>15.2</v>
      </c>
      <c r="B17" s="34">
        <f t="shared" si="0"/>
        <v>1.9690697674418554</v>
      </c>
      <c r="C17" s="1042">
        <v>18</v>
      </c>
      <c r="D17" s="34">
        <f t="shared" si="1"/>
        <v>5.224883720930216</v>
      </c>
      <c r="E17" s="1037">
        <v>20.8</v>
      </c>
      <c r="F17" s="34">
        <f t="shared" si="2"/>
        <v>8.480697674418574</v>
      </c>
      <c r="G17" s="1037">
        <v>23.6</v>
      </c>
      <c r="H17" s="1038">
        <f t="shared" si="3"/>
        <v>11.736511627906951</v>
      </c>
    </row>
    <row r="18" spans="1:8" ht="12.75">
      <c r="A18" s="1041">
        <v>15.3</v>
      </c>
      <c r="B18" s="34">
        <f t="shared" si="0"/>
        <v>2.0853488372092968</v>
      </c>
      <c r="C18" s="1040">
        <v>18.1</v>
      </c>
      <c r="D18" s="34">
        <f t="shared" si="1"/>
        <v>5.341162790697657</v>
      </c>
      <c r="E18" s="1030">
        <v>20.9</v>
      </c>
      <c r="F18" s="34">
        <f t="shared" si="2"/>
        <v>8.596976744186016</v>
      </c>
      <c r="G18" s="1030">
        <v>23.7</v>
      </c>
      <c r="H18" s="1038">
        <f t="shared" si="3"/>
        <v>11.852790697674394</v>
      </c>
    </row>
    <row r="19" spans="1:8" ht="12.75">
      <c r="A19" s="1039">
        <v>15.4</v>
      </c>
      <c r="B19" s="34">
        <f t="shared" si="0"/>
        <v>2.2016279069767384</v>
      </c>
      <c r="C19" s="1042">
        <v>18.2</v>
      </c>
      <c r="D19" s="34">
        <f t="shared" si="1"/>
        <v>5.4574418604650985</v>
      </c>
      <c r="E19" s="1037">
        <v>21</v>
      </c>
      <c r="F19" s="34">
        <f t="shared" si="2"/>
        <v>8.713255813953458</v>
      </c>
      <c r="G19" s="1037">
        <v>23.8</v>
      </c>
      <c r="H19" s="1038">
        <f t="shared" si="3"/>
        <v>11.969069767441836</v>
      </c>
    </row>
    <row r="20" spans="1:8" ht="12.75">
      <c r="A20" s="1041">
        <v>15.5</v>
      </c>
      <c r="B20" s="34">
        <f t="shared" si="0"/>
        <v>2.31790697674418</v>
      </c>
      <c r="C20" s="1040">
        <v>18.3</v>
      </c>
      <c r="D20" s="34">
        <f t="shared" si="1"/>
        <v>5.57372093023254</v>
      </c>
      <c r="E20" s="1030">
        <v>21.1</v>
      </c>
      <c r="F20" s="34">
        <f t="shared" si="2"/>
        <v>8.8295348837209</v>
      </c>
      <c r="G20" s="1030">
        <v>23.9</v>
      </c>
      <c r="H20" s="1038">
        <f t="shared" si="3"/>
        <v>12.085348837209278</v>
      </c>
    </row>
    <row r="21" spans="1:8" ht="12.75">
      <c r="A21" s="1039">
        <v>15.6</v>
      </c>
      <c r="B21" s="34">
        <f t="shared" si="0"/>
        <v>2.4341860465116216</v>
      </c>
      <c r="C21" s="1042">
        <v>18.4</v>
      </c>
      <c r="D21" s="34">
        <f t="shared" si="1"/>
        <v>5.689999999999981</v>
      </c>
      <c r="E21" s="1037">
        <v>21.2</v>
      </c>
      <c r="F21" s="34">
        <f t="shared" si="2"/>
        <v>8.945813953488342</v>
      </c>
      <c r="G21" s="1037">
        <v>24</v>
      </c>
      <c r="H21" s="1038">
        <f t="shared" si="3"/>
        <v>12.20162790697672</v>
      </c>
    </row>
    <row r="22" spans="1:8" ht="12.75">
      <c r="A22" s="1041">
        <v>15.7</v>
      </c>
      <c r="B22" s="34">
        <f t="shared" si="0"/>
        <v>2.5504651162790632</v>
      </c>
      <c r="C22" s="1040">
        <v>18.5</v>
      </c>
      <c r="D22" s="34">
        <f t="shared" si="1"/>
        <v>5.806279069767422</v>
      </c>
      <c r="E22" s="1030">
        <v>21.3</v>
      </c>
      <c r="F22" s="34">
        <f t="shared" si="2"/>
        <v>9.062093023255784</v>
      </c>
      <c r="G22" s="1030">
        <v>24.1</v>
      </c>
      <c r="H22" s="1038">
        <f t="shared" si="3"/>
        <v>12.317906976744162</v>
      </c>
    </row>
    <row r="23" spans="1:8" ht="12.75">
      <c r="A23" s="1039">
        <v>15.8</v>
      </c>
      <c r="B23" s="34">
        <f t="shared" si="0"/>
        <v>2.666744186046505</v>
      </c>
      <c r="C23" s="1042">
        <v>18.6</v>
      </c>
      <c r="D23" s="34">
        <f t="shared" si="1"/>
        <v>5.922558139534863</v>
      </c>
      <c r="E23" s="1037">
        <v>21.4</v>
      </c>
      <c r="F23" s="34">
        <f t="shared" si="2"/>
        <v>9.178372093023226</v>
      </c>
      <c r="G23" s="1037">
        <v>24.2</v>
      </c>
      <c r="H23" s="1038">
        <f t="shared" si="3"/>
        <v>12.434186046511604</v>
      </c>
    </row>
    <row r="24" spans="1:8" ht="12.75">
      <c r="A24" s="1041">
        <v>15.9</v>
      </c>
      <c r="B24" s="34">
        <f t="shared" si="0"/>
        <v>2.7830232558139465</v>
      </c>
      <c r="C24" s="1040">
        <v>18.7</v>
      </c>
      <c r="D24" s="34">
        <f t="shared" si="1"/>
        <v>6.038837209302304</v>
      </c>
      <c r="E24" s="1030">
        <v>21.5</v>
      </c>
      <c r="F24" s="34">
        <f t="shared" si="2"/>
        <v>9.294651162790668</v>
      </c>
      <c r="G24" s="1030">
        <v>24.3</v>
      </c>
      <c r="H24" s="1038">
        <f t="shared" si="3"/>
        <v>12.550465116279046</v>
      </c>
    </row>
    <row r="25" spans="1:8" ht="12.75">
      <c r="A25" s="1039">
        <v>16</v>
      </c>
      <c r="B25" s="34">
        <f t="shared" si="0"/>
        <v>2.899302325581388</v>
      </c>
      <c r="C25" s="1042">
        <v>18.8</v>
      </c>
      <c r="D25" s="34">
        <f t="shared" si="1"/>
        <v>6.155116279069746</v>
      </c>
      <c r="E25" s="1037">
        <v>21.6</v>
      </c>
      <c r="F25" s="34">
        <f t="shared" si="2"/>
        <v>9.41093023255811</v>
      </c>
      <c r="G25" s="1037">
        <v>24.4</v>
      </c>
      <c r="H25" s="1038">
        <f t="shared" si="3"/>
        <v>12.666744186046488</v>
      </c>
    </row>
    <row r="26" spans="1:8" ht="12.75">
      <c r="A26" s="1041">
        <v>16.1</v>
      </c>
      <c r="B26" s="34">
        <f t="shared" si="0"/>
        <v>3.0155813953488297</v>
      </c>
      <c r="C26" s="1040">
        <v>18.9</v>
      </c>
      <c r="D26" s="34">
        <f t="shared" si="1"/>
        <v>6.271395348837187</v>
      </c>
      <c r="E26" s="1030">
        <v>21.7</v>
      </c>
      <c r="F26" s="34">
        <f t="shared" si="2"/>
        <v>9.527209302325552</v>
      </c>
      <c r="G26" s="1030">
        <v>24.5</v>
      </c>
      <c r="H26" s="1038">
        <f t="shared" si="3"/>
        <v>12.78302325581393</v>
      </c>
    </row>
    <row r="27" spans="1:8" ht="12.75">
      <c r="A27" s="1039">
        <v>16.2</v>
      </c>
      <c r="B27" s="34">
        <f t="shared" si="0"/>
        <v>3.1318604651162714</v>
      </c>
      <c r="C27" s="1042">
        <v>19</v>
      </c>
      <c r="D27" s="34">
        <f t="shared" si="1"/>
        <v>6.387674418604628</v>
      </c>
      <c r="E27" s="1037">
        <v>21.8</v>
      </c>
      <c r="F27" s="34">
        <f t="shared" si="2"/>
        <v>9.643488372092994</v>
      </c>
      <c r="G27" s="1037">
        <v>24.6</v>
      </c>
      <c r="H27" s="1038">
        <f t="shared" si="3"/>
        <v>12.899302325581372</v>
      </c>
    </row>
    <row r="28" spans="1:8" ht="12.75">
      <c r="A28" s="1041">
        <v>16.3</v>
      </c>
      <c r="B28" s="34">
        <f t="shared" si="0"/>
        <v>3.248139534883713</v>
      </c>
      <c r="C28" s="1040">
        <v>19.1</v>
      </c>
      <c r="D28" s="34">
        <f t="shared" si="1"/>
        <v>6.503953488372069</v>
      </c>
      <c r="E28">
        <v>21.9</v>
      </c>
      <c r="F28" s="34">
        <f t="shared" si="2"/>
        <v>9.759767441860436</v>
      </c>
      <c r="G28" s="1030">
        <v>24.7</v>
      </c>
      <c r="H28" s="1038">
        <f t="shared" si="3"/>
        <v>13.015581395348814</v>
      </c>
    </row>
    <row r="29" spans="1:8" ht="12.75">
      <c r="A29" s="1039">
        <v>16.4</v>
      </c>
      <c r="B29" s="34">
        <f t="shared" si="0"/>
        <v>3.3644186046511546</v>
      </c>
      <c r="C29" s="1042">
        <v>19.2</v>
      </c>
      <c r="D29" s="34">
        <f t="shared" si="1"/>
        <v>6.62023255813951</v>
      </c>
      <c r="E29" s="1037">
        <v>22</v>
      </c>
      <c r="F29" s="34">
        <f t="shared" si="2"/>
        <v>9.876046511627878</v>
      </c>
      <c r="G29" s="1037">
        <v>24.8</v>
      </c>
      <c r="H29" s="1038">
        <f t="shared" si="3"/>
        <v>13.131860465116256</v>
      </c>
    </row>
    <row r="30" spans="1:8" ht="12.75">
      <c r="A30" s="1041">
        <v>16.5</v>
      </c>
      <c r="B30" s="34">
        <f t="shared" si="0"/>
        <v>3.4806976744185962</v>
      </c>
      <c r="C30" s="1040">
        <v>19.3</v>
      </c>
      <c r="D30" s="34">
        <f t="shared" si="1"/>
        <v>6.7365116279069515</v>
      </c>
      <c r="E30">
        <v>22.1</v>
      </c>
      <c r="F30" s="34">
        <f t="shared" si="2"/>
        <v>9.99232558139532</v>
      </c>
      <c r="G30">
        <v>24.9</v>
      </c>
      <c r="H30" s="1038">
        <f t="shared" si="3"/>
        <v>13.248139534883698</v>
      </c>
    </row>
    <row r="31" spans="1:8" ht="12.75">
      <c r="A31" s="1039">
        <v>16.6</v>
      </c>
      <c r="B31" s="34">
        <f t="shared" si="0"/>
        <v>3.596976744186038</v>
      </c>
      <c r="C31" s="1042">
        <v>19.4</v>
      </c>
      <c r="D31" s="34">
        <f t="shared" si="1"/>
        <v>6.852790697674393</v>
      </c>
      <c r="E31" s="33">
        <v>22.2</v>
      </c>
      <c r="F31" s="34">
        <f t="shared" si="2"/>
        <v>10.108604651162763</v>
      </c>
      <c r="G31" s="1050">
        <v>25</v>
      </c>
      <c r="H31" s="1038">
        <f t="shared" si="3"/>
        <v>13.36441860465114</v>
      </c>
    </row>
    <row r="32" spans="1:8" ht="12.75">
      <c r="A32" s="1041">
        <v>16.7</v>
      </c>
      <c r="B32" s="34">
        <f t="shared" si="0"/>
        <v>3.7132558139534795</v>
      </c>
      <c r="C32" s="1040">
        <v>19.5</v>
      </c>
      <c r="D32" s="34">
        <f t="shared" si="1"/>
        <v>6.969069767441834</v>
      </c>
      <c r="E32">
        <v>22.3</v>
      </c>
      <c r="F32" s="34">
        <f t="shared" si="2"/>
        <v>10.224883720930205</v>
      </c>
      <c r="H32" s="125"/>
    </row>
    <row r="33" spans="1:8" ht="13.5" thickBot="1">
      <c r="A33" s="1044">
        <v>16.8</v>
      </c>
      <c r="B33" s="34">
        <f t="shared" si="0"/>
        <v>3.829534883720921</v>
      </c>
      <c r="C33" s="1045">
        <v>19.6</v>
      </c>
      <c r="D33" s="34">
        <f t="shared" si="1"/>
        <v>7.085348837209275</v>
      </c>
      <c r="E33" s="1051">
        <v>22.4</v>
      </c>
      <c r="F33" s="34">
        <f t="shared" si="2"/>
        <v>10.341162790697647</v>
      </c>
      <c r="G33" s="1052"/>
      <c r="H33" s="1053"/>
    </row>
    <row r="35" ht="12.75">
      <c r="B35" t="s">
        <v>482</v>
      </c>
    </row>
    <row r="36" ht="12.75">
      <c r="B36" t="s">
        <v>483</v>
      </c>
    </row>
    <row r="37" ht="12.75">
      <c r="B37" t="s">
        <v>484</v>
      </c>
    </row>
    <row r="38" ht="12.75">
      <c r="D38">
        <f>((14.1-14)/(100-14))*100</f>
        <v>0.11627906976744144</v>
      </c>
    </row>
  </sheetData>
  <sheetProtection/>
  <mergeCells count="2">
    <mergeCell ref="A1:H1"/>
    <mergeCell ref="A2:H2"/>
  </mergeCells>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1:H42"/>
  <sheetViews>
    <sheetView zoomScalePageLayoutView="0" workbookViewId="0" topLeftCell="D1">
      <selection activeCell="K18" sqref="K17:K18"/>
    </sheetView>
  </sheetViews>
  <sheetFormatPr defaultColWidth="11.421875" defaultRowHeight="12.75"/>
  <sheetData>
    <row r="1" spans="1:8" ht="15.75">
      <c r="A1" s="1261" t="s">
        <v>485</v>
      </c>
      <c r="B1" s="1261"/>
      <c r="C1" s="1261"/>
      <c r="D1" s="1261"/>
      <c r="E1" s="1261"/>
      <c r="F1" s="1261"/>
      <c r="G1" s="1261"/>
      <c r="H1" s="1261"/>
    </row>
    <row r="2" spans="1:8" ht="13.5" thickBot="1">
      <c r="A2" s="1059"/>
      <c r="B2" s="1059"/>
      <c r="C2" s="1059"/>
      <c r="D2" s="1059"/>
      <c r="E2" s="1059"/>
      <c r="F2" s="1059"/>
      <c r="G2" s="1059"/>
      <c r="H2" s="1059"/>
    </row>
    <row r="3" spans="1:8" ht="12.75">
      <c r="A3" s="1001" t="s">
        <v>735</v>
      </c>
      <c r="B3" s="1026" t="s">
        <v>735</v>
      </c>
      <c r="C3" s="1001" t="s">
        <v>735</v>
      </c>
      <c r="D3" s="1002" t="s">
        <v>735</v>
      </c>
      <c r="E3" s="1026" t="s">
        <v>735</v>
      </c>
      <c r="F3" s="1002" t="s">
        <v>735</v>
      </c>
      <c r="G3" s="1026" t="s">
        <v>735</v>
      </c>
      <c r="H3" s="1002" t="s">
        <v>735</v>
      </c>
    </row>
    <row r="4" spans="1:8" ht="13.5" thickBot="1">
      <c r="A4" s="1027" t="s">
        <v>413</v>
      </c>
      <c r="B4" s="1028" t="s">
        <v>414</v>
      </c>
      <c r="C4" s="1027" t="s">
        <v>413</v>
      </c>
      <c r="D4" s="1029" t="s">
        <v>414</v>
      </c>
      <c r="E4" s="1028" t="s">
        <v>413</v>
      </c>
      <c r="F4" s="1029" t="s">
        <v>414</v>
      </c>
      <c r="G4" s="1028" t="s">
        <v>413</v>
      </c>
      <c r="H4" s="1029" t="s">
        <v>414</v>
      </c>
    </row>
    <row r="5" spans="1:8" ht="12.75">
      <c r="A5" s="1031">
        <v>11.1</v>
      </c>
      <c r="B5" s="1032">
        <v>0.67</v>
      </c>
      <c r="C5" s="1033">
        <v>14.6</v>
      </c>
      <c r="D5" s="1032">
        <f>B39+E42</f>
        <v>4.602584269662905</v>
      </c>
      <c r="E5" s="1033">
        <v>18.1</v>
      </c>
      <c r="F5" s="1034">
        <f>D39+E42</f>
        <v>8.535168539325817</v>
      </c>
      <c r="G5" s="1054">
        <v>21.6</v>
      </c>
      <c r="H5" s="1047">
        <f>F39+E42</f>
        <v>12.4677528089887</v>
      </c>
    </row>
    <row r="6" spans="1:8" ht="12.75">
      <c r="A6" s="1039">
        <v>11.2</v>
      </c>
      <c r="B6" s="34">
        <f aca="true" t="shared" si="0" ref="B6:B39">B5+$E$42</f>
        <v>0.7823595505617974</v>
      </c>
      <c r="C6" s="1040">
        <v>14.7</v>
      </c>
      <c r="D6" s="34">
        <f aca="true" t="shared" si="1" ref="D6:D39">D5+$E$42</f>
        <v>4.714943820224702</v>
      </c>
      <c r="E6" s="1040">
        <v>18.2</v>
      </c>
      <c r="F6" s="1037">
        <f aca="true" t="shared" si="2" ref="F6:F39">F5+$E$42</f>
        <v>8.647528089887613</v>
      </c>
      <c r="G6" s="1036">
        <v>21.7</v>
      </c>
      <c r="H6" s="121">
        <f aca="true" t="shared" si="3" ref="H6:H39">H5+$E$42</f>
        <v>12.580112359550498</v>
      </c>
    </row>
    <row r="7" spans="1:8" ht="12.75">
      <c r="A7" s="1041">
        <v>11.3</v>
      </c>
      <c r="B7" s="34">
        <f t="shared" si="0"/>
        <v>0.8947191011235948</v>
      </c>
      <c r="C7" s="1042">
        <v>14.8</v>
      </c>
      <c r="D7" s="34">
        <f t="shared" si="1"/>
        <v>4.8273033707865</v>
      </c>
      <c r="E7" s="1042">
        <v>18.3</v>
      </c>
      <c r="F7" s="1037">
        <f t="shared" si="2"/>
        <v>8.75988764044941</v>
      </c>
      <c r="G7" s="451">
        <v>21.8</v>
      </c>
      <c r="H7" s="121">
        <f t="shared" si="3"/>
        <v>12.692471910112294</v>
      </c>
    </row>
    <row r="8" spans="1:8" ht="12.75">
      <c r="A8" s="1039">
        <v>11.4</v>
      </c>
      <c r="B8" s="34">
        <f t="shared" si="0"/>
        <v>1.007078651685392</v>
      </c>
      <c r="C8" s="1040">
        <v>14.9</v>
      </c>
      <c r="D8" s="34">
        <f t="shared" si="1"/>
        <v>4.939662921348297</v>
      </c>
      <c r="E8" s="1040">
        <v>18.4</v>
      </c>
      <c r="F8" s="1037">
        <f t="shared" si="2"/>
        <v>8.872247191011207</v>
      </c>
      <c r="G8" s="1036">
        <v>21.9</v>
      </c>
      <c r="H8" s="121">
        <f t="shared" si="3"/>
        <v>12.804831460674091</v>
      </c>
    </row>
    <row r="9" spans="1:8" ht="12.75">
      <c r="A9" s="1041">
        <v>11.5</v>
      </c>
      <c r="B9" s="34">
        <f t="shared" si="0"/>
        <v>1.1194382022471894</v>
      </c>
      <c r="C9" s="1042">
        <v>15</v>
      </c>
      <c r="D9" s="34">
        <f t="shared" si="1"/>
        <v>5.052022471910095</v>
      </c>
      <c r="E9" s="1042">
        <v>18.5</v>
      </c>
      <c r="F9" s="1037">
        <f t="shared" si="2"/>
        <v>8.984606741573003</v>
      </c>
      <c r="G9" s="451">
        <v>22</v>
      </c>
      <c r="H9" s="121">
        <f t="shared" si="3"/>
        <v>12.917191011235888</v>
      </c>
    </row>
    <row r="10" spans="1:8" ht="12.75">
      <c r="A10" s="1039">
        <v>11.6</v>
      </c>
      <c r="B10" s="34">
        <f t="shared" si="0"/>
        <v>1.2317977528089867</v>
      </c>
      <c r="C10" s="1040">
        <v>15.1</v>
      </c>
      <c r="D10" s="34">
        <f t="shared" si="1"/>
        <v>5.164382022471893</v>
      </c>
      <c r="E10" s="1040">
        <v>18.6</v>
      </c>
      <c r="F10" s="1037">
        <f t="shared" si="2"/>
        <v>9.0969662921348</v>
      </c>
      <c r="G10" s="1036">
        <v>21.1</v>
      </c>
      <c r="H10" s="121">
        <f t="shared" si="3"/>
        <v>13.029550561797684</v>
      </c>
    </row>
    <row r="11" spans="1:8" ht="12.75">
      <c r="A11" s="1041">
        <v>11.7</v>
      </c>
      <c r="B11" s="34">
        <f t="shared" si="0"/>
        <v>1.344157303370784</v>
      </c>
      <c r="C11" s="1042">
        <v>15.2</v>
      </c>
      <c r="D11" s="34">
        <f t="shared" si="1"/>
        <v>5.27674157303369</v>
      </c>
      <c r="E11" s="1042">
        <v>18.7</v>
      </c>
      <c r="F11" s="1037">
        <f t="shared" si="2"/>
        <v>9.209325842696597</v>
      </c>
      <c r="G11" s="451">
        <v>22.2</v>
      </c>
      <c r="H11" s="121">
        <f t="shared" si="3"/>
        <v>13.141910112359481</v>
      </c>
    </row>
    <row r="12" spans="1:8" ht="12.75">
      <c r="A12" s="1039">
        <v>11.8</v>
      </c>
      <c r="B12" s="34">
        <f t="shared" si="0"/>
        <v>1.4565168539325815</v>
      </c>
      <c r="C12" s="1040">
        <v>15.3</v>
      </c>
      <c r="D12" s="34">
        <f t="shared" si="1"/>
        <v>5.389101123595488</v>
      </c>
      <c r="E12" s="1040">
        <v>18.8</v>
      </c>
      <c r="F12" s="1037">
        <f t="shared" si="2"/>
        <v>9.321685393258393</v>
      </c>
      <c r="G12" s="1036">
        <v>22.3</v>
      </c>
      <c r="H12" s="121">
        <f t="shared" si="3"/>
        <v>13.254269662921278</v>
      </c>
    </row>
    <row r="13" spans="1:8" ht="12.75">
      <c r="A13" s="1041">
        <v>11.9</v>
      </c>
      <c r="B13" s="34">
        <f t="shared" si="0"/>
        <v>1.5688764044943788</v>
      </c>
      <c r="C13" s="1042">
        <v>15.4</v>
      </c>
      <c r="D13" s="34">
        <f t="shared" si="1"/>
        <v>5.501460674157285</v>
      </c>
      <c r="E13" s="1042">
        <v>18.9</v>
      </c>
      <c r="F13" s="1037">
        <f t="shared" si="2"/>
        <v>9.43404494382019</v>
      </c>
      <c r="G13" s="451">
        <v>22.4</v>
      </c>
      <c r="H13" s="121">
        <f t="shared" si="3"/>
        <v>13.366629213483074</v>
      </c>
    </row>
    <row r="14" spans="1:8" ht="12.75">
      <c r="A14" s="1039">
        <v>12</v>
      </c>
      <c r="B14" s="34">
        <f t="shared" si="0"/>
        <v>1.6812359550561762</v>
      </c>
      <c r="C14" s="1040">
        <v>15.5</v>
      </c>
      <c r="D14" s="34">
        <f t="shared" si="1"/>
        <v>5.613820224719083</v>
      </c>
      <c r="E14" s="1040">
        <v>19</v>
      </c>
      <c r="F14" s="1037">
        <f t="shared" si="2"/>
        <v>9.546404494381987</v>
      </c>
      <c r="G14" s="1036">
        <v>22.5</v>
      </c>
      <c r="H14" s="121">
        <f t="shared" si="3"/>
        <v>13.478988764044871</v>
      </c>
    </row>
    <row r="15" spans="1:8" ht="12.75">
      <c r="A15" s="1041">
        <v>12.1</v>
      </c>
      <c r="B15" s="34">
        <f t="shared" si="0"/>
        <v>1.7935955056179735</v>
      </c>
      <c r="C15" s="1042">
        <v>15.6</v>
      </c>
      <c r="D15" s="34">
        <f t="shared" si="1"/>
        <v>5.7261797752808805</v>
      </c>
      <c r="E15" s="1042">
        <v>19.1</v>
      </c>
      <c r="F15" s="1037">
        <f t="shared" si="2"/>
        <v>9.658764044943783</v>
      </c>
      <c r="G15" s="451">
        <v>22.6</v>
      </c>
      <c r="H15" s="121">
        <f t="shared" si="3"/>
        <v>13.591348314606668</v>
      </c>
    </row>
    <row r="16" spans="1:8" ht="12.75">
      <c r="A16" s="1039">
        <v>12.2</v>
      </c>
      <c r="B16" s="34">
        <f t="shared" si="0"/>
        <v>1.905955056179771</v>
      </c>
      <c r="C16" s="1040">
        <v>15.7</v>
      </c>
      <c r="D16" s="34">
        <f t="shared" si="1"/>
        <v>5.838539325842678</v>
      </c>
      <c r="E16" s="1040">
        <v>19.2</v>
      </c>
      <c r="F16" s="1037">
        <f t="shared" si="2"/>
        <v>9.77112359550558</v>
      </c>
      <c r="G16" s="1036">
        <v>22.7</v>
      </c>
      <c r="H16" s="121">
        <f t="shared" si="3"/>
        <v>13.703707865168465</v>
      </c>
    </row>
    <row r="17" spans="1:8" ht="12.75">
      <c r="A17" s="1041">
        <v>12.3</v>
      </c>
      <c r="B17" s="34">
        <f t="shared" si="0"/>
        <v>2.0183146067415683</v>
      </c>
      <c r="C17" s="1042">
        <v>15.8</v>
      </c>
      <c r="D17" s="34">
        <f t="shared" si="1"/>
        <v>5.950898876404476</v>
      </c>
      <c r="E17" s="1042">
        <v>19.3</v>
      </c>
      <c r="F17" s="1037">
        <f t="shared" si="2"/>
        <v>9.883483146067377</v>
      </c>
      <c r="G17" s="451">
        <v>22.8</v>
      </c>
      <c r="H17" s="121">
        <f t="shared" si="3"/>
        <v>13.816067415730261</v>
      </c>
    </row>
    <row r="18" spans="1:8" ht="12.75">
      <c r="A18" s="1039">
        <v>12.4</v>
      </c>
      <c r="B18" s="34">
        <f t="shared" si="0"/>
        <v>2.1306741573033654</v>
      </c>
      <c r="C18" s="1040">
        <v>15.9</v>
      </c>
      <c r="D18" s="34">
        <f t="shared" si="1"/>
        <v>6.063258426966273</v>
      </c>
      <c r="E18" s="1040">
        <v>19.4</v>
      </c>
      <c r="F18" s="1037">
        <f t="shared" si="2"/>
        <v>9.995842696629174</v>
      </c>
      <c r="G18" s="1036">
        <v>22.9</v>
      </c>
      <c r="H18" s="121">
        <f t="shared" si="3"/>
        <v>13.928426966292058</v>
      </c>
    </row>
    <row r="19" spans="1:8" ht="12.75">
      <c r="A19" s="1041">
        <v>12.5</v>
      </c>
      <c r="B19" s="34">
        <f t="shared" si="0"/>
        <v>2.2430337078651625</v>
      </c>
      <c r="C19" s="1042">
        <v>16</v>
      </c>
      <c r="D19" s="34">
        <f t="shared" si="1"/>
        <v>6.175617977528071</v>
      </c>
      <c r="E19" s="1042">
        <v>19.5</v>
      </c>
      <c r="F19" s="1037">
        <f t="shared" si="2"/>
        <v>10.10820224719097</v>
      </c>
      <c r="G19" s="451">
        <v>23</v>
      </c>
      <c r="H19" s="121">
        <f t="shared" si="3"/>
        <v>14.040786516853855</v>
      </c>
    </row>
    <row r="20" spans="1:8" ht="12.75">
      <c r="A20" s="1039">
        <v>12.6</v>
      </c>
      <c r="B20" s="34">
        <f t="shared" si="0"/>
        <v>2.3553932584269597</v>
      </c>
      <c r="C20" s="1040">
        <v>16.1</v>
      </c>
      <c r="D20" s="34">
        <f t="shared" si="1"/>
        <v>6.287977528089868</v>
      </c>
      <c r="E20" s="1040">
        <v>19.6</v>
      </c>
      <c r="F20" s="1037">
        <f t="shared" si="2"/>
        <v>10.220561797752767</v>
      </c>
      <c r="G20" s="1036">
        <v>23.1</v>
      </c>
      <c r="H20" s="121">
        <f t="shared" si="3"/>
        <v>14.153146067415651</v>
      </c>
    </row>
    <row r="21" spans="1:8" ht="12.75">
      <c r="A21" s="1041">
        <v>12.7</v>
      </c>
      <c r="B21" s="34">
        <f t="shared" si="0"/>
        <v>2.467752808988757</v>
      </c>
      <c r="C21" s="1042">
        <v>16.2</v>
      </c>
      <c r="D21" s="34">
        <f t="shared" si="1"/>
        <v>6.400337078651666</v>
      </c>
      <c r="E21" s="1042">
        <v>19.7</v>
      </c>
      <c r="F21" s="1037">
        <f t="shared" si="2"/>
        <v>10.332921348314564</v>
      </c>
      <c r="G21" s="451">
        <v>23.2</v>
      </c>
      <c r="H21" s="121">
        <f t="shared" si="3"/>
        <v>14.265505617977448</v>
      </c>
    </row>
    <row r="22" spans="1:8" ht="12.75">
      <c r="A22" s="1039">
        <v>12.8</v>
      </c>
      <c r="B22" s="34">
        <f t="shared" si="0"/>
        <v>2.580112359550554</v>
      </c>
      <c r="C22" s="1040">
        <v>16.3</v>
      </c>
      <c r="D22" s="34">
        <f t="shared" si="1"/>
        <v>6.512696629213464</v>
      </c>
      <c r="E22" s="1040">
        <v>19.8</v>
      </c>
      <c r="F22" s="1037">
        <f t="shared" si="2"/>
        <v>10.44528089887636</v>
      </c>
      <c r="G22" s="1036">
        <v>23.3</v>
      </c>
      <c r="H22" s="121">
        <f t="shared" si="3"/>
        <v>14.377865168539245</v>
      </c>
    </row>
    <row r="23" spans="1:8" ht="12.75">
      <c r="A23" s="1041">
        <v>12.9</v>
      </c>
      <c r="B23" s="34">
        <f t="shared" si="0"/>
        <v>2.692471910112351</v>
      </c>
      <c r="C23" s="1042">
        <v>16.4</v>
      </c>
      <c r="D23" s="34">
        <f t="shared" si="1"/>
        <v>6.625056179775261</v>
      </c>
      <c r="E23" s="1042">
        <v>19.9</v>
      </c>
      <c r="F23" s="1037">
        <f t="shared" si="2"/>
        <v>10.557640449438157</v>
      </c>
      <c r="G23" s="451">
        <v>23.4</v>
      </c>
      <c r="H23" s="121">
        <f t="shared" si="3"/>
        <v>14.490224719101041</v>
      </c>
    </row>
    <row r="24" spans="1:8" ht="12.75">
      <c r="A24" s="1039">
        <v>13</v>
      </c>
      <c r="B24" s="34">
        <f t="shared" si="0"/>
        <v>2.8048314606741482</v>
      </c>
      <c r="C24" s="1040">
        <v>16.5</v>
      </c>
      <c r="D24" s="34">
        <f t="shared" si="1"/>
        <v>6.737415730337059</v>
      </c>
      <c r="E24" s="1040">
        <v>20</v>
      </c>
      <c r="F24" s="1037">
        <f t="shared" si="2"/>
        <v>10.669999999999954</v>
      </c>
      <c r="G24" s="1036">
        <v>23.5</v>
      </c>
      <c r="H24" s="121">
        <f t="shared" si="3"/>
        <v>14.602584269662838</v>
      </c>
    </row>
    <row r="25" spans="1:8" ht="12.75">
      <c r="A25" s="1041">
        <v>13.1</v>
      </c>
      <c r="B25" s="34">
        <f t="shared" si="0"/>
        <v>2.9171910112359454</v>
      </c>
      <c r="C25" s="1042">
        <v>16.6</v>
      </c>
      <c r="D25" s="34">
        <f t="shared" si="1"/>
        <v>6.849775280898856</v>
      </c>
      <c r="E25" s="1042">
        <v>20.1</v>
      </c>
      <c r="F25" s="1037">
        <f t="shared" si="2"/>
        <v>10.78235955056175</v>
      </c>
      <c r="G25" s="451">
        <v>23.6</v>
      </c>
      <c r="H25" s="121">
        <f t="shared" si="3"/>
        <v>14.714943820224635</v>
      </c>
    </row>
    <row r="26" spans="1:8" ht="12.75">
      <c r="A26" s="1039">
        <v>13.2</v>
      </c>
      <c r="B26" s="34">
        <f t="shared" si="0"/>
        <v>3.0295505617977425</v>
      </c>
      <c r="C26" s="1040">
        <v>16.7</v>
      </c>
      <c r="D26" s="34">
        <f t="shared" si="1"/>
        <v>6.962134831460654</v>
      </c>
      <c r="E26" s="1040">
        <v>20.2</v>
      </c>
      <c r="F26" s="1037">
        <f t="shared" si="2"/>
        <v>10.894719101123547</v>
      </c>
      <c r="G26" s="1036">
        <v>23.7</v>
      </c>
      <c r="H26" s="121">
        <f t="shared" si="3"/>
        <v>14.827303370786431</v>
      </c>
    </row>
    <row r="27" spans="1:8" ht="12.75">
      <c r="A27" s="1041">
        <v>13.3</v>
      </c>
      <c r="B27" s="34">
        <f t="shared" si="0"/>
        <v>3.1419101123595397</v>
      </c>
      <c r="C27" s="1042">
        <v>16.8</v>
      </c>
      <c r="D27" s="34">
        <f t="shared" si="1"/>
        <v>7.0744943820224515</v>
      </c>
      <c r="E27" s="1042">
        <v>20.3</v>
      </c>
      <c r="F27" s="1037">
        <f t="shared" si="2"/>
        <v>11.007078651685344</v>
      </c>
      <c r="G27" s="451">
        <v>23.8</v>
      </c>
      <c r="H27" s="121">
        <f t="shared" si="3"/>
        <v>14.939662921348228</v>
      </c>
    </row>
    <row r="28" spans="1:8" ht="12.75">
      <c r="A28" s="1039">
        <v>13.4</v>
      </c>
      <c r="B28" s="34">
        <f t="shared" si="0"/>
        <v>3.254269662921337</v>
      </c>
      <c r="C28" s="1040">
        <v>16.9</v>
      </c>
      <c r="D28" s="34">
        <f t="shared" si="1"/>
        <v>7.186853932584249</v>
      </c>
      <c r="E28" s="1040">
        <v>20.4</v>
      </c>
      <c r="F28" s="1037">
        <f t="shared" si="2"/>
        <v>11.11943820224714</v>
      </c>
      <c r="G28" s="1036">
        <v>23.9</v>
      </c>
      <c r="H28" s="121">
        <f t="shared" si="3"/>
        <v>15.052022471910025</v>
      </c>
    </row>
    <row r="29" spans="1:8" ht="12.75">
      <c r="A29" s="1041">
        <v>13.5</v>
      </c>
      <c r="B29" s="34">
        <f t="shared" si="0"/>
        <v>3.366629213483134</v>
      </c>
      <c r="C29" s="1042">
        <v>17</v>
      </c>
      <c r="D29" s="34">
        <f t="shared" si="1"/>
        <v>7.299213483146047</v>
      </c>
      <c r="E29" s="1042">
        <v>20.5</v>
      </c>
      <c r="F29" s="1037">
        <f t="shared" si="2"/>
        <v>11.231797752808937</v>
      </c>
      <c r="G29" s="451">
        <v>24</v>
      </c>
      <c r="H29" s="121">
        <f t="shared" si="3"/>
        <v>15.164382022471822</v>
      </c>
    </row>
    <row r="30" spans="1:8" ht="12.75">
      <c r="A30" s="1039">
        <v>13.6</v>
      </c>
      <c r="B30" s="34">
        <f t="shared" si="0"/>
        <v>3.478988764044931</v>
      </c>
      <c r="C30" s="1040">
        <v>17.1</v>
      </c>
      <c r="D30" s="34">
        <f t="shared" si="1"/>
        <v>7.411573033707844</v>
      </c>
      <c r="E30" s="1040">
        <v>20.6</v>
      </c>
      <c r="F30" s="1037">
        <f t="shared" si="2"/>
        <v>11.344157303370734</v>
      </c>
      <c r="G30" s="1036">
        <v>24.1</v>
      </c>
      <c r="H30" s="121">
        <f t="shared" si="3"/>
        <v>15.276741573033618</v>
      </c>
    </row>
    <row r="31" spans="1:8" ht="12.75">
      <c r="A31" s="1041">
        <v>13.7</v>
      </c>
      <c r="B31" s="34">
        <f t="shared" si="0"/>
        <v>3.591348314606728</v>
      </c>
      <c r="C31" s="1042">
        <v>17.2</v>
      </c>
      <c r="D31" s="34">
        <f t="shared" si="1"/>
        <v>7.523932584269642</v>
      </c>
      <c r="E31" s="1042">
        <v>20.7</v>
      </c>
      <c r="F31" s="1037">
        <f t="shared" si="2"/>
        <v>11.45651685393253</v>
      </c>
      <c r="G31" s="451">
        <v>24.2</v>
      </c>
      <c r="H31" s="121">
        <f t="shared" si="3"/>
        <v>15.389101123595415</v>
      </c>
    </row>
    <row r="32" spans="1:8" ht="12.75">
      <c r="A32" s="1039">
        <v>13.8</v>
      </c>
      <c r="B32" s="34">
        <f t="shared" si="0"/>
        <v>3.7037078651685253</v>
      </c>
      <c r="C32" s="1040">
        <v>17.3</v>
      </c>
      <c r="D32" s="34">
        <f t="shared" si="1"/>
        <v>7.636292134831439</v>
      </c>
      <c r="E32" s="1040">
        <v>20.8</v>
      </c>
      <c r="F32" s="1037">
        <f t="shared" si="2"/>
        <v>11.568876404494327</v>
      </c>
      <c r="G32" s="1036">
        <v>24.3</v>
      </c>
      <c r="H32" s="121">
        <f t="shared" si="3"/>
        <v>15.501460674157212</v>
      </c>
    </row>
    <row r="33" spans="1:8" ht="12.75">
      <c r="A33" s="1041">
        <v>13.9</v>
      </c>
      <c r="B33" s="34">
        <f t="shared" si="0"/>
        <v>3.8160674157303225</v>
      </c>
      <c r="C33" s="1042">
        <v>17.4</v>
      </c>
      <c r="D33" s="34">
        <f t="shared" si="1"/>
        <v>7.748651685393237</v>
      </c>
      <c r="E33" s="1042">
        <v>20.9</v>
      </c>
      <c r="F33" s="1037">
        <f t="shared" si="2"/>
        <v>11.681235955056124</v>
      </c>
      <c r="G33" s="451">
        <v>24.4</v>
      </c>
      <c r="H33" s="121">
        <f t="shared" si="3"/>
        <v>15.613820224719008</v>
      </c>
    </row>
    <row r="34" spans="1:8" ht="12.75">
      <c r="A34" s="1039">
        <v>14</v>
      </c>
      <c r="B34" s="34">
        <f t="shared" si="0"/>
        <v>3.9284269662921196</v>
      </c>
      <c r="C34" s="1040">
        <v>17.5</v>
      </c>
      <c r="D34" s="34">
        <f t="shared" si="1"/>
        <v>7.861011235955035</v>
      </c>
      <c r="E34" s="1040">
        <v>21</v>
      </c>
      <c r="F34" s="1037">
        <f t="shared" si="2"/>
        <v>11.79359550561792</v>
      </c>
      <c r="G34" s="1036">
        <v>24.5</v>
      </c>
      <c r="H34" s="121">
        <f t="shared" si="3"/>
        <v>15.726179775280805</v>
      </c>
    </row>
    <row r="35" spans="1:8" ht="12.75">
      <c r="A35" s="1041">
        <v>14.1</v>
      </c>
      <c r="B35" s="34">
        <f t="shared" si="0"/>
        <v>4.040786516853917</v>
      </c>
      <c r="C35" s="1042">
        <v>17.6</v>
      </c>
      <c r="D35" s="34">
        <f t="shared" si="1"/>
        <v>7.973370786516832</v>
      </c>
      <c r="E35" s="1042">
        <v>21.1</v>
      </c>
      <c r="F35" s="1037">
        <f t="shared" si="2"/>
        <v>11.905955056179717</v>
      </c>
      <c r="G35" s="451">
        <v>24.6</v>
      </c>
      <c r="H35" s="121">
        <f t="shared" si="3"/>
        <v>15.838539325842602</v>
      </c>
    </row>
    <row r="36" spans="1:8" ht="12.75">
      <c r="A36" s="1039">
        <v>14.2</v>
      </c>
      <c r="B36" s="34">
        <f t="shared" si="0"/>
        <v>4.153146067415714</v>
      </c>
      <c r="C36" s="1040">
        <v>17.7</v>
      </c>
      <c r="D36" s="34">
        <f t="shared" si="1"/>
        <v>8.08573033707863</v>
      </c>
      <c r="E36" s="1040">
        <v>21.2</v>
      </c>
      <c r="F36" s="1037">
        <f t="shared" si="2"/>
        <v>12.018314606741514</v>
      </c>
      <c r="G36" s="1036">
        <v>24.7</v>
      </c>
      <c r="H36" s="121">
        <f t="shared" si="3"/>
        <v>15.950898876404398</v>
      </c>
    </row>
    <row r="37" spans="1:8" ht="12.75">
      <c r="A37" s="1041">
        <v>14.3</v>
      </c>
      <c r="B37" s="34">
        <f t="shared" si="0"/>
        <v>4.265505617977512</v>
      </c>
      <c r="C37" s="1042">
        <v>17.8</v>
      </c>
      <c r="D37" s="34">
        <f t="shared" si="1"/>
        <v>8.198089887640426</v>
      </c>
      <c r="E37" s="1042">
        <v>21.3</v>
      </c>
      <c r="F37" s="1037">
        <f t="shared" si="2"/>
        <v>12.13067415730331</v>
      </c>
      <c r="G37" s="451">
        <v>24.8</v>
      </c>
      <c r="H37" s="121">
        <f t="shared" si="3"/>
        <v>16.063258426966197</v>
      </c>
    </row>
    <row r="38" spans="1:8" ht="12.75">
      <c r="A38" s="1039">
        <v>14.4</v>
      </c>
      <c r="B38" s="34">
        <f t="shared" si="0"/>
        <v>4.3778651685393095</v>
      </c>
      <c r="C38" s="1040">
        <v>17.9</v>
      </c>
      <c r="D38" s="34">
        <f t="shared" si="1"/>
        <v>8.310449438202223</v>
      </c>
      <c r="E38" s="1040">
        <v>21.4</v>
      </c>
      <c r="F38" s="1037">
        <f t="shared" si="2"/>
        <v>12.243033707865107</v>
      </c>
      <c r="G38" s="1036">
        <v>24.9</v>
      </c>
      <c r="H38" s="121">
        <f t="shared" si="3"/>
        <v>16.175617977527995</v>
      </c>
    </row>
    <row r="39" spans="1:8" ht="13.5" thickBot="1">
      <c r="A39" s="1048">
        <v>14.5</v>
      </c>
      <c r="B39" s="34">
        <f t="shared" si="0"/>
        <v>4.490224719101107</v>
      </c>
      <c r="C39" s="1049">
        <v>18</v>
      </c>
      <c r="D39" s="34">
        <f t="shared" si="1"/>
        <v>8.42280898876402</v>
      </c>
      <c r="E39" s="1049">
        <v>21.5</v>
      </c>
      <c r="F39" s="1037">
        <f t="shared" si="2"/>
        <v>12.355393258426904</v>
      </c>
      <c r="G39" s="1043">
        <v>25</v>
      </c>
      <c r="H39" s="121">
        <f t="shared" si="3"/>
        <v>16.287977528089794</v>
      </c>
    </row>
    <row r="41" ht="12.75">
      <c r="B41" t="s">
        <v>419</v>
      </c>
    </row>
    <row r="42" ht="12.75">
      <c r="E42">
        <f>((11.1-11)/(100-11))*100</f>
        <v>0.11235955056179735</v>
      </c>
    </row>
  </sheetData>
  <sheetProtection/>
  <mergeCells count="1">
    <mergeCell ref="A1:H1"/>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2:M114"/>
  <sheetViews>
    <sheetView showGridLines="0" zoomScalePageLayoutView="0" workbookViewId="0" topLeftCell="A1">
      <selection activeCell="D16" sqref="D16"/>
    </sheetView>
  </sheetViews>
  <sheetFormatPr defaultColWidth="11.421875" defaultRowHeight="12.75"/>
  <cols>
    <col min="1" max="1" width="5.421875" style="0" customWidth="1"/>
    <col min="2" max="2" width="32.57421875" style="0" customWidth="1"/>
    <col min="3" max="3" width="10.7109375" style="0" customWidth="1"/>
    <col min="4" max="4" width="11.00390625" style="0" customWidth="1"/>
    <col min="5" max="5" width="9.28125" style="0" customWidth="1"/>
    <col min="6" max="6" width="14.28125" style="0" customWidth="1"/>
    <col min="7" max="7" width="4.8515625" style="0" customWidth="1"/>
    <col min="8" max="8" width="6.00390625" style="0" customWidth="1"/>
    <col min="9" max="9" width="21.8515625" style="0" customWidth="1"/>
    <col min="10" max="10" width="10.00390625" style="0" customWidth="1"/>
    <col min="11" max="11" width="10.57421875" style="0" customWidth="1"/>
    <col min="12" max="12" width="7.7109375" style="0" customWidth="1"/>
    <col min="13" max="13" width="16.57421875" style="0" customWidth="1"/>
  </cols>
  <sheetData>
    <row r="1" ht="13.5" thickBot="1"/>
    <row r="2" spans="1:13" ht="20.25">
      <c r="A2" s="1106" t="s">
        <v>137</v>
      </c>
      <c r="B2" s="1107"/>
      <c r="C2" s="1107"/>
      <c r="D2" s="1107"/>
      <c r="E2" s="1107"/>
      <c r="F2" s="1107"/>
      <c r="G2" s="1107"/>
      <c r="H2" s="1107"/>
      <c r="I2" s="1107"/>
      <c r="J2" s="1107"/>
      <c r="K2" s="1107"/>
      <c r="L2" s="1107"/>
      <c r="M2" s="1108"/>
    </row>
    <row r="3" spans="1:13" ht="20.25">
      <c r="A3" s="1109" t="s">
        <v>132</v>
      </c>
      <c r="B3" s="1110"/>
      <c r="C3" s="1110"/>
      <c r="D3" s="1110"/>
      <c r="E3" s="1110"/>
      <c r="F3" s="1110"/>
      <c r="G3" s="1110"/>
      <c r="H3" s="1110"/>
      <c r="I3" s="1110"/>
      <c r="J3" s="1110"/>
      <c r="K3" s="1110"/>
      <c r="L3" s="1110"/>
      <c r="M3" s="1111"/>
    </row>
    <row r="4" spans="1:13" ht="20.25">
      <c r="A4" s="1112" t="s">
        <v>133</v>
      </c>
      <c r="B4" s="1113"/>
      <c r="C4" s="1113"/>
      <c r="D4" s="1113"/>
      <c r="E4" s="1113"/>
      <c r="F4" s="1113"/>
      <c r="G4" s="1113"/>
      <c r="H4" s="1113"/>
      <c r="I4" s="1113"/>
      <c r="J4" s="1113"/>
      <c r="K4" s="1113"/>
      <c r="L4" s="1113"/>
      <c r="M4" s="1114"/>
    </row>
    <row r="5" spans="1:13" ht="20.25">
      <c r="A5" s="1112" t="s">
        <v>134</v>
      </c>
      <c r="B5" s="1113"/>
      <c r="C5" s="1113"/>
      <c r="D5" s="1113"/>
      <c r="E5" s="1113"/>
      <c r="F5" s="1113"/>
      <c r="G5" s="1113"/>
      <c r="H5" s="1113"/>
      <c r="I5" s="1113"/>
      <c r="J5" s="1113"/>
      <c r="K5" s="1113"/>
      <c r="L5" s="1113"/>
      <c r="M5" s="1114"/>
    </row>
    <row r="6" spans="1:13" ht="20.25">
      <c r="A6" s="1112" t="s">
        <v>135</v>
      </c>
      <c r="B6" s="1113"/>
      <c r="C6" s="1113"/>
      <c r="D6" s="1113"/>
      <c r="E6" s="1113"/>
      <c r="F6" s="1113"/>
      <c r="G6" s="1113"/>
      <c r="H6" s="1113"/>
      <c r="I6" s="1113"/>
      <c r="J6" s="1113"/>
      <c r="K6" s="1113"/>
      <c r="L6" s="1113"/>
      <c r="M6" s="1114"/>
    </row>
    <row r="7" spans="1:13" ht="21" thickBot="1">
      <c r="A7" s="1118" t="s">
        <v>136</v>
      </c>
      <c r="B7" s="1119"/>
      <c r="C7" s="1119"/>
      <c r="D7" s="1119"/>
      <c r="E7" s="1119"/>
      <c r="F7" s="1119"/>
      <c r="G7" s="1119"/>
      <c r="H7" s="1119"/>
      <c r="I7" s="1119"/>
      <c r="J7" s="1119"/>
      <c r="K7" s="1119"/>
      <c r="L7" s="1119"/>
      <c r="M7" s="1120"/>
    </row>
    <row r="8" ht="13.5" thickBot="1"/>
    <row r="9" spans="2:13" ht="18.75" thickBot="1">
      <c r="B9" s="1115" t="s">
        <v>717</v>
      </c>
      <c r="C9" s="1116"/>
      <c r="D9" s="1116"/>
      <c r="E9" s="1116"/>
      <c r="F9" s="1117"/>
      <c r="I9" s="1115" t="s">
        <v>717</v>
      </c>
      <c r="J9" s="1116"/>
      <c r="K9" s="1116"/>
      <c r="L9" s="1116"/>
      <c r="M9" s="1117"/>
    </row>
    <row r="10" spans="1:13" ht="13.5" thickBot="1">
      <c r="A10" s="38"/>
      <c r="B10" s="126" t="s">
        <v>718</v>
      </c>
      <c r="C10" s="126" t="s">
        <v>719</v>
      </c>
      <c r="D10" s="126" t="s">
        <v>720</v>
      </c>
      <c r="E10" s="127"/>
      <c r="F10" s="128" t="s">
        <v>721</v>
      </c>
      <c r="H10" s="38"/>
      <c r="I10" s="126" t="s">
        <v>718</v>
      </c>
      <c r="J10" s="126" t="s">
        <v>719</v>
      </c>
      <c r="K10" s="126" t="s">
        <v>720</v>
      </c>
      <c r="L10" s="127"/>
      <c r="M10" s="128" t="s">
        <v>722</v>
      </c>
    </row>
    <row r="11" spans="1:13" ht="12.75">
      <c r="A11" s="129" t="s">
        <v>723</v>
      </c>
      <c r="B11" s="31" t="s">
        <v>724</v>
      </c>
      <c r="C11" s="129" t="s">
        <v>533</v>
      </c>
      <c r="D11" s="32">
        <v>160000</v>
      </c>
      <c r="E11" s="130"/>
      <c r="F11" s="32">
        <v>75000</v>
      </c>
      <c r="H11" s="129" t="s">
        <v>723</v>
      </c>
      <c r="I11" s="31" t="s">
        <v>724</v>
      </c>
      <c r="J11" s="129" t="s">
        <v>533</v>
      </c>
      <c r="K11" s="32">
        <v>160000</v>
      </c>
      <c r="L11" s="130"/>
      <c r="M11" s="32">
        <v>35000</v>
      </c>
    </row>
    <row r="12" spans="1:13" ht="12.75">
      <c r="A12" s="131" t="s">
        <v>725</v>
      </c>
      <c r="B12" s="33" t="s">
        <v>726</v>
      </c>
      <c r="C12" s="131" t="s">
        <v>533</v>
      </c>
      <c r="D12" s="34">
        <v>125000</v>
      </c>
      <c r="E12" s="132"/>
      <c r="F12" s="34">
        <v>50000</v>
      </c>
      <c r="H12" s="131" t="s">
        <v>725</v>
      </c>
      <c r="I12" s="33" t="s">
        <v>726</v>
      </c>
      <c r="J12" s="131" t="s">
        <v>533</v>
      </c>
      <c r="K12" s="34">
        <v>120000</v>
      </c>
      <c r="L12" s="132"/>
      <c r="M12" s="34">
        <v>30000</v>
      </c>
    </row>
    <row r="13" spans="1:13" ht="12.75">
      <c r="A13" s="131" t="s">
        <v>727</v>
      </c>
      <c r="B13" s="33" t="s">
        <v>728</v>
      </c>
      <c r="C13" s="131" t="s">
        <v>729</v>
      </c>
      <c r="D13" s="33">
        <v>0</v>
      </c>
      <c r="E13" s="133"/>
      <c r="F13" s="33">
        <v>0</v>
      </c>
      <c r="H13" s="131" t="s">
        <v>727</v>
      </c>
      <c r="I13" s="33" t="s">
        <v>728</v>
      </c>
      <c r="J13" s="131" t="s">
        <v>729</v>
      </c>
      <c r="K13" s="33">
        <v>0</v>
      </c>
      <c r="L13" s="133"/>
      <c r="M13" s="33">
        <v>0</v>
      </c>
    </row>
    <row r="14" spans="1:13" ht="12.75">
      <c r="A14" s="131" t="s">
        <v>730</v>
      </c>
      <c r="B14" s="33" t="s">
        <v>731</v>
      </c>
      <c r="C14" s="131" t="s">
        <v>732</v>
      </c>
      <c r="D14" s="33">
        <v>15</v>
      </c>
      <c r="E14" s="133"/>
      <c r="F14" s="33">
        <v>10</v>
      </c>
      <c r="H14" s="131" t="s">
        <v>730</v>
      </c>
      <c r="I14" s="33" t="s">
        <v>731</v>
      </c>
      <c r="J14" s="131" t="s">
        <v>732</v>
      </c>
      <c r="K14" s="33">
        <v>15</v>
      </c>
      <c r="L14" s="133"/>
      <c r="M14" s="33">
        <v>10</v>
      </c>
    </row>
    <row r="15" spans="1:13" ht="12.75">
      <c r="A15" s="131" t="s">
        <v>733</v>
      </c>
      <c r="B15" s="33" t="s">
        <v>734</v>
      </c>
      <c r="C15" s="131" t="s">
        <v>735</v>
      </c>
      <c r="D15" s="33">
        <v>6</v>
      </c>
      <c r="E15" s="133"/>
      <c r="F15" s="33">
        <v>6</v>
      </c>
      <c r="H15" s="131" t="s">
        <v>733</v>
      </c>
      <c r="I15" s="33" t="s">
        <v>734</v>
      </c>
      <c r="J15" s="131" t="s">
        <v>735</v>
      </c>
      <c r="K15" s="33">
        <v>6</v>
      </c>
      <c r="L15" s="133"/>
      <c r="M15" s="33">
        <v>6</v>
      </c>
    </row>
    <row r="16" spans="1:13" ht="12.75">
      <c r="A16" s="131" t="s">
        <v>736</v>
      </c>
      <c r="B16" s="33" t="s">
        <v>737</v>
      </c>
      <c r="C16" s="131" t="s">
        <v>735</v>
      </c>
      <c r="D16" s="33">
        <v>0.5</v>
      </c>
      <c r="E16" s="133"/>
      <c r="F16" s="33">
        <v>0.5</v>
      </c>
      <c r="H16" s="131" t="s">
        <v>736</v>
      </c>
      <c r="I16" s="33" t="s">
        <v>737</v>
      </c>
      <c r="J16" s="131" t="s">
        <v>735</v>
      </c>
      <c r="K16" s="33">
        <v>0.5</v>
      </c>
      <c r="L16" s="133"/>
      <c r="M16" s="33">
        <v>0.5</v>
      </c>
    </row>
    <row r="17" spans="1:13" ht="12.75">
      <c r="A17" s="131" t="s">
        <v>738</v>
      </c>
      <c r="B17" s="33" t="s">
        <v>739</v>
      </c>
      <c r="C17" s="131" t="s">
        <v>729</v>
      </c>
      <c r="D17" s="33">
        <v>1500</v>
      </c>
      <c r="E17" s="133"/>
      <c r="F17" s="33">
        <v>800</v>
      </c>
      <c r="H17" s="131" t="s">
        <v>738</v>
      </c>
      <c r="I17" s="33" t="s">
        <v>739</v>
      </c>
      <c r="J17" s="131" t="s">
        <v>729</v>
      </c>
      <c r="K17" s="33">
        <v>1500</v>
      </c>
      <c r="L17" s="133"/>
      <c r="M17" s="33">
        <v>1200</v>
      </c>
    </row>
    <row r="18" spans="1:13" ht="12.75">
      <c r="A18" s="131" t="s">
        <v>740</v>
      </c>
      <c r="B18" s="33" t="s">
        <v>741</v>
      </c>
      <c r="C18" s="131" t="s">
        <v>742</v>
      </c>
      <c r="D18" s="33">
        <v>100</v>
      </c>
      <c r="E18" s="133"/>
      <c r="F18" s="33"/>
      <c r="H18" s="131" t="s">
        <v>740</v>
      </c>
      <c r="I18" s="33" t="s">
        <v>741</v>
      </c>
      <c r="J18" s="131" t="s">
        <v>742</v>
      </c>
      <c r="K18" s="33">
        <v>100</v>
      </c>
      <c r="L18" s="133"/>
      <c r="M18" s="33"/>
    </row>
    <row r="19" spans="1:13" ht="12.75">
      <c r="A19" s="131" t="s">
        <v>743</v>
      </c>
      <c r="B19" s="33" t="s">
        <v>744</v>
      </c>
      <c r="C19" s="131" t="s">
        <v>745</v>
      </c>
      <c r="D19" s="33">
        <v>16</v>
      </c>
      <c r="E19" s="133"/>
      <c r="F19" s="33"/>
      <c r="H19" s="131" t="s">
        <v>743</v>
      </c>
      <c r="I19" s="33" t="s">
        <v>744</v>
      </c>
      <c r="J19" s="131" t="s">
        <v>745</v>
      </c>
      <c r="K19" s="33">
        <v>16</v>
      </c>
      <c r="L19" s="133"/>
      <c r="M19" s="33"/>
    </row>
    <row r="20" spans="1:13" ht="12.75">
      <c r="A20" s="131" t="s">
        <v>746</v>
      </c>
      <c r="B20" s="33" t="s">
        <v>747</v>
      </c>
      <c r="C20" s="131" t="s">
        <v>748</v>
      </c>
      <c r="D20" s="33">
        <v>1.08</v>
      </c>
      <c r="E20" s="133"/>
      <c r="F20" s="33"/>
      <c r="H20" s="131" t="s">
        <v>746</v>
      </c>
      <c r="I20" s="33" t="s">
        <v>747</v>
      </c>
      <c r="J20" s="131" t="s">
        <v>748</v>
      </c>
      <c r="K20" s="33">
        <f>0.51-0.12</f>
        <v>0.39</v>
      </c>
      <c r="L20" s="133"/>
      <c r="M20" s="33"/>
    </row>
    <row r="21" spans="1:13" ht="12.75">
      <c r="A21" s="131" t="s">
        <v>749</v>
      </c>
      <c r="B21" s="33" t="s">
        <v>750</v>
      </c>
      <c r="C21" s="131" t="s">
        <v>751</v>
      </c>
      <c r="D21" s="33">
        <f>800*1.3</f>
        <v>1040</v>
      </c>
      <c r="E21" s="133"/>
      <c r="F21" s="33"/>
      <c r="H21" s="131" t="s">
        <v>749</v>
      </c>
      <c r="I21" s="33" t="s">
        <v>750</v>
      </c>
      <c r="J21" s="131" t="s">
        <v>751</v>
      </c>
      <c r="K21" s="33">
        <v>800</v>
      </c>
      <c r="L21" s="133"/>
      <c r="M21" s="33"/>
    </row>
    <row r="22" spans="1:13" ht="12.75">
      <c r="A22" s="131" t="s">
        <v>752</v>
      </c>
      <c r="B22" s="33" t="s">
        <v>753</v>
      </c>
      <c r="C22" s="131" t="s">
        <v>754</v>
      </c>
      <c r="D22" s="33">
        <v>180</v>
      </c>
      <c r="E22" s="133"/>
      <c r="F22" s="33"/>
      <c r="H22" s="131" t="s">
        <v>752</v>
      </c>
      <c r="I22" s="33" t="s">
        <v>753</v>
      </c>
      <c r="J22" s="131" t="s">
        <v>754</v>
      </c>
      <c r="K22" s="33">
        <v>180</v>
      </c>
      <c r="L22" s="133"/>
      <c r="M22" s="33"/>
    </row>
    <row r="23" spans="1:13" ht="12.75">
      <c r="A23" s="131" t="s">
        <v>755</v>
      </c>
      <c r="B23" s="33" t="s">
        <v>756</v>
      </c>
      <c r="C23" s="131" t="s">
        <v>757</v>
      </c>
      <c r="D23" s="33"/>
      <c r="E23" s="133"/>
      <c r="F23" s="33">
        <v>2.25</v>
      </c>
      <c r="H23" s="131" t="s">
        <v>755</v>
      </c>
      <c r="I23" s="33" t="s">
        <v>756</v>
      </c>
      <c r="J23" s="131" t="s">
        <v>757</v>
      </c>
      <c r="K23" s="33"/>
      <c r="L23" s="133"/>
      <c r="M23" s="33">
        <v>6.35</v>
      </c>
    </row>
    <row r="24" spans="1:13" ht="12.75">
      <c r="A24" s="134" t="s">
        <v>758</v>
      </c>
      <c r="B24" s="135" t="s">
        <v>759</v>
      </c>
      <c r="C24" s="134"/>
      <c r="D24" s="135"/>
      <c r="E24" s="135"/>
      <c r="F24" s="135"/>
      <c r="H24" s="134" t="s">
        <v>758</v>
      </c>
      <c r="I24" s="135" t="s">
        <v>759</v>
      </c>
      <c r="J24" s="134"/>
      <c r="K24" s="135"/>
      <c r="L24" s="135"/>
      <c r="M24" s="135"/>
    </row>
    <row r="25" spans="1:13" ht="12.75">
      <c r="A25" s="131">
        <v>1</v>
      </c>
      <c r="B25" s="33" t="s">
        <v>760</v>
      </c>
      <c r="C25" s="131" t="s">
        <v>533</v>
      </c>
      <c r="D25" s="34">
        <v>45000</v>
      </c>
      <c r="E25" s="132"/>
      <c r="F25" s="34">
        <v>10000</v>
      </c>
      <c r="H25" s="131">
        <v>1</v>
      </c>
      <c r="I25" s="33" t="s">
        <v>760</v>
      </c>
      <c r="J25" s="131" t="s">
        <v>533</v>
      </c>
      <c r="K25" s="34">
        <v>45000</v>
      </c>
      <c r="L25" s="132"/>
      <c r="M25" s="34">
        <v>8000</v>
      </c>
    </row>
    <row r="26" spans="1:13" ht="12.75">
      <c r="A26" s="131">
        <v>2</v>
      </c>
      <c r="B26" s="33" t="s">
        <v>761</v>
      </c>
      <c r="C26" s="131" t="s">
        <v>538</v>
      </c>
      <c r="D26" s="571">
        <f>(D12-D25)/D14</f>
        <v>5333.333333333333</v>
      </c>
      <c r="E26" s="132"/>
      <c r="F26" s="571">
        <f>(F12-F25)/F14</f>
        <v>4000</v>
      </c>
      <c r="H26" s="131">
        <v>2</v>
      </c>
      <c r="I26" s="33" t="s">
        <v>761</v>
      </c>
      <c r="J26" s="131" t="s">
        <v>538</v>
      </c>
      <c r="K26" s="571">
        <f>(K12-K25)/K14</f>
        <v>5000</v>
      </c>
      <c r="L26" s="132"/>
      <c r="M26" s="571">
        <f>(M12-M25)/M14</f>
        <v>2200</v>
      </c>
    </row>
    <row r="27" spans="1:13" ht="12.75">
      <c r="A27" s="131">
        <v>3</v>
      </c>
      <c r="B27" s="33" t="s">
        <v>762</v>
      </c>
      <c r="C27" s="131" t="s">
        <v>538</v>
      </c>
      <c r="D27" s="571">
        <f>(D12+D25)/2</f>
        <v>85000</v>
      </c>
      <c r="E27" s="132"/>
      <c r="F27" s="571">
        <f>(F12+F25)/2</f>
        <v>30000</v>
      </c>
      <c r="H27" s="131">
        <v>3</v>
      </c>
      <c r="I27" s="33" t="s">
        <v>762</v>
      </c>
      <c r="J27" s="131" t="s">
        <v>538</v>
      </c>
      <c r="K27" s="571">
        <f>(K12+K25)/2</f>
        <v>82500</v>
      </c>
      <c r="L27" s="132"/>
      <c r="M27" s="571">
        <f>(M12+M25)/2</f>
        <v>19000</v>
      </c>
    </row>
    <row r="28" spans="1:13" ht="12.75">
      <c r="A28" s="131">
        <v>4</v>
      </c>
      <c r="B28" s="33" t="s">
        <v>763</v>
      </c>
      <c r="C28" s="131" t="s">
        <v>538</v>
      </c>
      <c r="D28" s="571">
        <f>D27*((D15/100-D16/100)/(1+D16/100))</f>
        <v>4651.741293532339</v>
      </c>
      <c r="E28" s="132"/>
      <c r="F28" s="571">
        <f>F27*((F15/100-F16/100)/(1+F16/100))</f>
        <v>1641.7910447761196</v>
      </c>
      <c r="H28" s="131">
        <v>4</v>
      </c>
      <c r="I28" s="33" t="s">
        <v>763</v>
      </c>
      <c r="J28" s="131" t="s">
        <v>538</v>
      </c>
      <c r="K28" s="571">
        <f>K27*((K15/100-K16/100)/(1+K16/100))</f>
        <v>4514.925373134329</v>
      </c>
      <c r="L28" s="132"/>
      <c r="M28" s="571">
        <f>M27*((M15/100-M16/100)/(1+M16/100))</f>
        <v>1039.8009950248759</v>
      </c>
    </row>
    <row r="29" spans="1:13" ht="12.75">
      <c r="A29" s="131">
        <v>5</v>
      </c>
      <c r="B29" s="33" t="s">
        <v>764</v>
      </c>
      <c r="C29" s="131" t="s">
        <v>765</v>
      </c>
      <c r="D29" s="571">
        <f>D11*0.01</f>
        <v>1600</v>
      </c>
      <c r="E29" s="132"/>
      <c r="F29" s="571">
        <f>F11*0.01</f>
        <v>750</v>
      </c>
      <c r="H29" s="131">
        <v>5</v>
      </c>
      <c r="I29" s="33" t="s">
        <v>766</v>
      </c>
      <c r="J29" s="131" t="s">
        <v>765</v>
      </c>
      <c r="K29" s="571">
        <f>K11*0.01</f>
        <v>1600</v>
      </c>
      <c r="L29" s="132"/>
      <c r="M29" s="571">
        <f>M11*0.01</f>
        <v>350</v>
      </c>
    </row>
    <row r="30" spans="1:13" ht="12.75">
      <c r="A30" s="134">
        <v>6</v>
      </c>
      <c r="B30" s="135" t="s">
        <v>767</v>
      </c>
      <c r="C30" s="134" t="s">
        <v>538</v>
      </c>
      <c r="D30" s="136">
        <f>D26+D28+D29</f>
        <v>11585.074626865673</v>
      </c>
      <c r="E30" s="135"/>
      <c r="F30" s="136">
        <f>F26+F28+F29</f>
        <v>6391.79104477612</v>
      </c>
      <c r="H30" s="134">
        <v>6</v>
      </c>
      <c r="I30" s="135" t="s">
        <v>767</v>
      </c>
      <c r="J30" s="134" t="s">
        <v>538</v>
      </c>
      <c r="K30" s="136">
        <f>K26+K28+K29</f>
        <v>11114.925373134329</v>
      </c>
      <c r="L30" s="136"/>
      <c r="M30" s="136">
        <f>M26+M28+M29</f>
        <v>3589.800995024876</v>
      </c>
    </row>
    <row r="31" spans="1:13" ht="12.75">
      <c r="A31" s="134" t="s">
        <v>768</v>
      </c>
      <c r="B31" s="135" t="s">
        <v>769</v>
      </c>
      <c r="C31" s="134"/>
      <c r="D31" s="135"/>
      <c r="E31" s="135"/>
      <c r="F31" s="135"/>
      <c r="H31" s="134" t="s">
        <v>768</v>
      </c>
      <c r="I31" s="135" t="s">
        <v>769</v>
      </c>
      <c r="J31" s="134"/>
      <c r="K31" s="135"/>
      <c r="L31" s="135"/>
      <c r="M31" s="135"/>
    </row>
    <row r="32" spans="1:13" ht="12.75">
      <c r="A32" s="131">
        <v>7</v>
      </c>
      <c r="B32" s="33" t="s">
        <v>770</v>
      </c>
      <c r="C32" s="22" t="s">
        <v>740</v>
      </c>
      <c r="D32" s="572">
        <f>D14*D17+D13</f>
        <v>22500</v>
      </c>
      <c r="E32" s="133"/>
      <c r="F32" s="572">
        <f>F14*F17+F13</f>
        <v>8000</v>
      </c>
      <c r="H32" s="131">
        <v>7</v>
      </c>
      <c r="I32" s="33" t="s">
        <v>770</v>
      </c>
      <c r="J32" s="22" t="s">
        <v>740</v>
      </c>
      <c r="K32" s="572">
        <f>K14*K17+K13</f>
        <v>22500</v>
      </c>
      <c r="L32" s="133"/>
      <c r="M32" s="572">
        <f>M14*M17+M13</f>
        <v>12000</v>
      </c>
    </row>
    <row r="33" spans="1:13" ht="12.75">
      <c r="A33" s="131">
        <v>8</v>
      </c>
      <c r="B33" s="33" t="s">
        <v>771</v>
      </c>
      <c r="C33" s="131" t="s">
        <v>772</v>
      </c>
      <c r="D33" s="572">
        <v>7E-05</v>
      </c>
      <c r="E33" s="133"/>
      <c r="F33" s="572">
        <v>0.0002</v>
      </c>
      <c r="H33" s="131">
        <v>8</v>
      </c>
      <c r="I33" s="33" t="s">
        <v>771</v>
      </c>
      <c r="J33" s="131" t="s">
        <v>772</v>
      </c>
      <c r="K33" s="572">
        <v>7E-05</v>
      </c>
      <c r="L33" s="133"/>
      <c r="M33" s="572">
        <v>0.0002</v>
      </c>
    </row>
    <row r="34" spans="1:13" ht="12.75">
      <c r="A34" s="131">
        <v>9</v>
      </c>
      <c r="B34" s="33" t="s">
        <v>773</v>
      </c>
      <c r="C34" s="131" t="s">
        <v>565</v>
      </c>
      <c r="D34" s="571">
        <f>D33*D11</f>
        <v>11.2</v>
      </c>
      <c r="E34" s="132"/>
      <c r="F34" s="571">
        <f>F33*F11</f>
        <v>15</v>
      </c>
      <c r="H34" s="131">
        <v>9</v>
      </c>
      <c r="I34" s="33" t="s">
        <v>773</v>
      </c>
      <c r="J34" s="131" t="s">
        <v>565</v>
      </c>
      <c r="K34" s="571">
        <f>K33*K11</f>
        <v>11.2</v>
      </c>
      <c r="L34" s="132"/>
      <c r="M34" s="571">
        <f>M33*M11</f>
        <v>7</v>
      </c>
    </row>
    <row r="35" spans="1:13" ht="12.75">
      <c r="A35" s="131">
        <v>10</v>
      </c>
      <c r="B35" s="33" t="s">
        <v>774</v>
      </c>
      <c r="C35" s="131" t="s">
        <v>565</v>
      </c>
      <c r="D35" s="571">
        <f>D19*D20</f>
        <v>17.28</v>
      </c>
      <c r="E35" s="132"/>
      <c r="F35" s="571"/>
      <c r="H35" s="131">
        <v>10</v>
      </c>
      <c r="I35" s="33" t="s">
        <v>774</v>
      </c>
      <c r="J35" s="131" t="s">
        <v>565</v>
      </c>
      <c r="K35" s="571">
        <f>K19*K20</f>
        <v>6.24</v>
      </c>
      <c r="L35" s="132"/>
      <c r="M35" s="571"/>
    </row>
    <row r="36" spans="1:13" ht="12.75">
      <c r="A36" s="131">
        <v>11</v>
      </c>
      <c r="B36" s="33" t="s">
        <v>775</v>
      </c>
      <c r="C36" s="131" t="s">
        <v>565</v>
      </c>
      <c r="D36" s="571">
        <f>D21/D22</f>
        <v>5.777777777777778</v>
      </c>
      <c r="E36" s="132"/>
      <c r="F36" s="571"/>
      <c r="H36" s="131">
        <v>11</v>
      </c>
      <c r="I36" s="33" t="s">
        <v>775</v>
      </c>
      <c r="J36" s="131" t="s">
        <v>565</v>
      </c>
      <c r="K36" s="571">
        <f>K21/K22</f>
        <v>4.444444444444445</v>
      </c>
      <c r="L36" s="132"/>
      <c r="M36" s="571"/>
    </row>
    <row r="37" spans="1:13" ht="12.75">
      <c r="A37" s="134">
        <v>12</v>
      </c>
      <c r="B37" s="135" t="s">
        <v>776</v>
      </c>
      <c r="C37" s="134" t="s">
        <v>565</v>
      </c>
      <c r="D37" s="136">
        <f>D34+D35+D36</f>
        <v>34.257777777777775</v>
      </c>
      <c r="E37" s="136"/>
      <c r="F37" s="136">
        <f>F34+F35+F36</f>
        <v>15</v>
      </c>
      <c r="H37" s="134">
        <v>12</v>
      </c>
      <c r="I37" s="135" t="s">
        <v>776</v>
      </c>
      <c r="J37" s="134" t="s">
        <v>565</v>
      </c>
      <c r="K37" s="136">
        <f>K34+K35+K36</f>
        <v>21.88444444444444</v>
      </c>
      <c r="L37" s="136"/>
      <c r="M37" s="136">
        <f>M34+M35+M36</f>
        <v>7</v>
      </c>
    </row>
    <row r="38" spans="1:13" ht="12.75">
      <c r="A38" s="131">
        <v>13</v>
      </c>
      <c r="B38" s="33" t="s">
        <v>777</v>
      </c>
      <c r="C38" s="131" t="s">
        <v>565</v>
      </c>
      <c r="D38" s="571">
        <f>D30/D17</f>
        <v>7.723383084577115</v>
      </c>
      <c r="E38" s="132"/>
      <c r="F38" s="571">
        <f>F30/F17</f>
        <v>7.989738805970149</v>
      </c>
      <c r="H38" s="131">
        <v>13</v>
      </c>
      <c r="I38" s="33" t="s">
        <v>777</v>
      </c>
      <c r="J38" s="131" t="s">
        <v>565</v>
      </c>
      <c r="K38" s="571">
        <f>K30/K17</f>
        <v>7.409950248756219</v>
      </c>
      <c r="L38" s="132"/>
      <c r="M38" s="571">
        <f>M30/M17</f>
        <v>2.991500829187397</v>
      </c>
    </row>
    <row r="39" spans="1:13" ht="12.75">
      <c r="A39" s="131">
        <v>14</v>
      </c>
      <c r="B39" s="33" t="s">
        <v>778</v>
      </c>
      <c r="C39" s="131" t="s">
        <v>565</v>
      </c>
      <c r="D39" s="571">
        <f>D37+D38</f>
        <v>41.98116086235489</v>
      </c>
      <c r="E39" s="132"/>
      <c r="F39" s="571">
        <f>F37+F38</f>
        <v>22.98973880597015</v>
      </c>
      <c r="H39" s="131">
        <v>14</v>
      </c>
      <c r="I39" s="33" t="s">
        <v>778</v>
      </c>
      <c r="J39" s="131" t="s">
        <v>565</v>
      </c>
      <c r="K39" s="571">
        <f>K37+K38</f>
        <v>29.29439469320066</v>
      </c>
      <c r="L39" s="132"/>
      <c r="M39" s="571">
        <f>M37+M38</f>
        <v>9.991500829187396</v>
      </c>
    </row>
    <row r="40" spans="1:13" ht="12.75">
      <c r="A40" s="134">
        <v>15</v>
      </c>
      <c r="B40" s="135" t="s">
        <v>779</v>
      </c>
      <c r="C40" s="134" t="s">
        <v>565</v>
      </c>
      <c r="D40" s="135"/>
      <c r="E40" s="573">
        <f>D39+F39</f>
        <v>64.97089966832505</v>
      </c>
      <c r="F40" s="135"/>
      <c r="H40" s="134">
        <v>15</v>
      </c>
      <c r="I40" s="135" t="s">
        <v>779</v>
      </c>
      <c r="J40" s="134" t="s">
        <v>565</v>
      </c>
      <c r="K40" s="135"/>
      <c r="L40" s="573">
        <f>K39+M39</f>
        <v>39.28589552238805</v>
      </c>
      <c r="M40" s="135"/>
    </row>
    <row r="41" spans="1:13" ht="12.75">
      <c r="A41" s="134">
        <v>16</v>
      </c>
      <c r="B41" s="135" t="s">
        <v>780</v>
      </c>
      <c r="C41" s="134" t="s">
        <v>561</v>
      </c>
      <c r="D41" s="135"/>
      <c r="E41" s="573">
        <f>E40/F23</f>
        <v>28.875955408144463</v>
      </c>
      <c r="F41" s="135"/>
      <c r="H41" s="134">
        <v>16</v>
      </c>
      <c r="I41" s="135" t="s">
        <v>780</v>
      </c>
      <c r="J41" s="134" t="s">
        <v>561</v>
      </c>
      <c r="K41" s="135"/>
      <c r="L41" s="573">
        <f>L40/M23</f>
        <v>6.186755200376072</v>
      </c>
      <c r="M41" s="135"/>
    </row>
    <row r="45" ht="13.5" thickBot="1"/>
    <row r="46" spans="2:13" ht="18.75" thickBot="1">
      <c r="B46" s="1115" t="s">
        <v>717</v>
      </c>
      <c r="C46" s="1116"/>
      <c r="D46" s="1116"/>
      <c r="E46" s="1116"/>
      <c r="F46" s="1117"/>
      <c r="I46" s="1115" t="s">
        <v>717</v>
      </c>
      <c r="J46" s="1116"/>
      <c r="K46" s="1116"/>
      <c r="L46" s="1116"/>
      <c r="M46" s="1117"/>
    </row>
    <row r="47" spans="1:13" ht="13.5" thickBot="1">
      <c r="A47" s="38"/>
      <c r="B47" s="126" t="s">
        <v>718</v>
      </c>
      <c r="C47" s="126" t="s">
        <v>719</v>
      </c>
      <c r="D47" s="126" t="s">
        <v>720</v>
      </c>
      <c r="E47" s="127"/>
      <c r="F47" s="128" t="s">
        <v>721</v>
      </c>
      <c r="H47" s="38"/>
      <c r="I47" s="126" t="s">
        <v>718</v>
      </c>
      <c r="J47" s="126" t="s">
        <v>719</v>
      </c>
      <c r="K47" s="126" t="s">
        <v>720</v>
      </c>
      <c r="L47" s="127"/>
      <c r="M47" s="128" t="s">
        <v>781</v>
      </c>
    </row>
    <row r="48" spans="1:13" ht="12.75">
      <c r="A48" s="129" t="s">
        <v>723</v>
      </c>
      <c r="B48" s="31" t="s">
        <v>724</v>
      </c>
      <c r="C48" s="129" t="s">
        <v>533</v>
      </c>
      <c r="D48" s="32">
        <v>35000</v>
      </c>
      <c r="E48" s="130"/>
      <c r="F48" s="32">
        <v>32000</v>
      </c>
      <c r="H48" s="129" t="s">
        <v>723</v>
      </c>
      <c r="I48" s="31" t="s">
        <v>724</v>
      </c>
      <c r="J48" s="129" t="s">
        <v>533</v>
      </c>
      <c r="K48" s="32">
        <v>35000</v>
      </c>
      <c r="L48" s="130"/>
      <c r="M48" s="32">
        <v>20000</v>
      </c>
    </row>
    <row r="49" spans="1:13" ht="12.75">
      <c r="A49" s="131" t="s">
        <v>725</v>
      </c>
      <c r="B49" s="33" t="s">
        <v>726</v>
      </c>
      <c r="C49" s="131" t="s">
        <v>533</v>
      </c>
      <c r="D49" s="34">
        <v>32500</v>
      </c>
      <c r="E49" s="132"/>
      <c r="F49" s="34">
        <v>28000</v>
      </c>
      <c r="H49" s="131" t="s">
        <v>725</v>
      </c>
      <c r="I49" s="33" t="s">
        <v>726</v>
      </c>
      <c r="J49" s="131" t="s">
        <v>533</v>
      </c>
      <c r="K49" s="34">
        <v>32500</v>
      </c>
      <c r="L49" s="132"/>
      <c r="M49" s="34">
        <v>18600</v>
      </c>
    </row>
    <row r="50" spans="1:13" ht="12.75">
      <c r="A50" s="131" t="s">
        <v>727</v>
      </c>
      <c r="B50" s="33" t="s">
        <v>728</v>
      </c>
      <c r="C50" s="131" t="s">
        <v>729</v>
      </c>
      <c r="D50" s="33">
        <v>0</v>
      </c>
      <c r="E50" s="133"/>
      <c r="F50" s="33">
        <v>0</v>
      </c>
      <c r="H50" s="131" t="s">
        <v>727</v>
      </c>
      <c r="I50" s="33" t="s">
        <v>728</v>
      </c>
      <c r="J50" s="131" t="s">
        <v>729</v>
      </c>
      <c r="K50" s="33">
        <v>0</v>
      </c>
      <c r="L50" s="133"/>
      <c r="M50" s="33">
        <v>0</v>
      </c>
    </row>
    <row r="51" spans="1:13" ht="12.75">
      <c r="A51" s="131" t="s">
        <v>730</v>
      </c>
      <c r="B51" s="33" t="s">
        <v>731</v>
      </c>
      <c r="C51" s="131" t="s">
        <v>732</v>
      </c>
      <c r="D51" s="33">
        <v>15</v>
      </c>
      <c r="E51" s="133"/>
      <c r="F51" s="33">
        <v>10</v>
      </c>
      <c r="H51" s="131" t="s">
        <v>730</v>
      </c>
      <c r="I51" s="33" t="s">
        <v>731</v>
      </c>
      <c r="J51" s="131" t="s">
        <v>732</v>
      </c>
      <c r="K51" s="33">
        <v>15</v>
      </c>
      <c r="L51" s="133"/>
      <c r="M51" s="33">
        <v>10</v>
      </c>
    </row>
    <row r="52" spans="1:13" ht="12.75">
      <c r="A52" s="131" t="s">
        <v>733</v>
      </c>
      <c r="B52" s="33" t="s">
        <v>734</v>
      </c>
      <c r="C52" s="131" t="s">
        <v>735</v>
      </c>
      <c r="D52" s="33">
        <v>8</v>
      </c>
      <c r="E52" s="133"/>
      <c r="F52" s="33">
        <v>8</v>
      </c>
      <c r="H52" s="131" t="s">
        <v>733</v>
      </c>
      <c r="I52" s="33" t="s">
        <v>734</v>
      </c>
      <c r="J52" s="131" t="s">
        <v>735</v>
      </c>
      <c r="K52" s="33">
        <v>8</v>
      </c>
      <c r="L52" s="133"/>
      <c r="M52" s="33">
        <v>8</v>
      </c>
    </row>
    <row r="53" spans="1:13" ht="12.75">
      <c r="A53" s="131" t="s">
        <v>736</v>
      </c>
      <c r="B53" s="33" t="s">
        <v>737</v>
      </c>
      <c r="C53" s="131" t="s">
        <v>735</v>
      </c>
      <c r="D53" s="33">
        <v>0.5</v>
      </c>
      <c r="E53" s="133"/>
      <c r="F53" s="33">
        <v>0.5</v>
      </c>
      <c r="H53" s="131" t="s">
        <v>736</v>
      </c>
      <c r="I53" s="33" t="s">
        <v>737</v>
      </c>
      <c r="J53" s="131" t="s">
        <v>735</v>
      </c>
      <c r="K53" s="33">
        <v>0.5</v>
      </c>
      <c r="L53" s="133"/>
      <c r="M53" s="33">
        <v>0.5</v>
      </c>
    </row>
    <row r="54" spans="1:13" ht="12.75">
      <c r="A54" s="131" t="s">
        <v>738</v>
      </c>
      <c r="B54" s="33" t="s">
        <v>739</v>
      </c>
      <c r="C54" s="131" t="s">
        <v>729</v>
      </c>
      <c r="D54" s="33">
        <v>1800</v>
      </c>
      <c r="E54" s="133"/>
      <c r="F54" s="33">
        <v>1000</v>
      </c>
      <c r="H54" s="131" t="s">
        <v>738</v>
      </c>
      <c r="I54" s="33" t="s">
        <v>739</v>
      </c>
      <c r="J54" s="131" t="s">
        <v>729</v>
      </c>
      <c r="K54" s="33">
        <v>1800</v>
      </c>
      <c r="L54" s="133"/>
      <c r="M54" s="33">
        <v>750</v>
      </c>
    </row>
    <row r="55" spans="1:13" ht="12.75">
      <c r="A55" s="131" t="s">
        <v>740</v>
      </c>
      <c r="B55" s="33" t="s">
        <v>741</v>
      </c>
      <c r="C55" s="131" t="s">
        <v>742</v>
      </c>
      <c r="D55" s="33">
        <v>160</v>
      </c>
      <c r="E55" s="133"/>
      <c r="F55" s="33"/>
      <c r="H55" s="131" t="s">
        <v>740</v>
      </c>
      <c r="I55" s="33" t="s">
        <v>741</v>
      </c>
      <c r="J55" s="131" t="s">
        <v>742</v>
      </c>
      <c r="K55" s="33">
        <v>160</v>
      </c>
      <c r="L55" s="133"/>
      <c r="M55" s="33"/>
    </row>
    <row r="56" spans="1:13" ht="12.75">
      <c r="A56" s="131" t="s">
        <v>743</v>
      </c>
      <c r="B56" s="33" t="s">
        <v>744</v>
      </c>
      <c r="C56" s="131" t="s">
        <v>745</v>
      </c>
      <c r="D56" s="33">
        <v>26</v>
      </c>
      <c r="E56" s="133"/>
      <c r="F56" s="33"/>
      <c r="H56" s="131" t="s">
        <v>743</v>
      </c>
      <c r="I56" s="33" t="s">
        <v>744</v>
      </c>
      <c r="J56" s="131" t="s">
        <v>745</v>
      </c>
      <c r="K56" s="33">
        <v>26</v>
      </c>
      <c r="L56" s="133"/>
      <c r="M56" s="33"/>
    </row>
    <row r="57" spans="1:13" ht="12.75">
      <c r="A57" s="131" t="s">
        <v>746</v>
      </c>
      <c r="B57" s="33" t="s">
        <v>747</v>
      </c>
      <c r="C57" s="131" t="s">
        <v>748</v>
      </c>
      <c r="D57" s="33">
        <f>0.51-0.12</f>
        <v>0.39</v>
      </c>
      <c r="E57" s="133"/>
      <c r="F57" s="33"/>
      <c r="H57" s="131" t="s">
        <v>746</v>
      </c>
      <c r="I57" s="33" t="s">
        <v>747</v>
      </c>
      <c r="J57" s="131" t="s">
        <v>748</v>
      </c>
      <c r="K57" s="33">
        <f>0.51-0.12</f>
        <v>0.39</v>
      </c>
      <c r="L57" s="133"/>
      <c r="M57" s="33"/>
    </row>
    <row r="58" spans="1:13" ht="12.75">
      <c r="A58" s="131" t="s">
        <v>749</v>
      </c>
      <c r="B58" s="33" t="s">
        <v>750</v>
      </c>
      <c r="C58" s="131" t="s">
        <v>751</v>
      </c>
      <c r="D58" s="33">
        <v>1000</v>
      </c>
      <c r="E58" s="133"/>
      <c r="F58" s="33"/>
      <c r="H58" s="131" t="s">
        <v>749</v>
      </c>
      <c r="I58" s="33" t="s">
        <v>750</v>
      </c>
      <c r="J58" s="131" t="s">
        <v>751</v>
      </c>
      <c r="K58" s="33">
        <v>1000</v>
      </c>
      <c r="L58" s="133"/>
      <c r="M58" s="33"/>
    </row>
    <row r="59" spans="1:13" ht="12.75">
      <c r="A59" s="131" t="s">
        <v>752</v>
      </c>
      <c r="B59" s="33" t="s">
        <v>753</v>
      </c>
      <c r="C59" s="131" t="s">
        <v>754</v>
      </c>
      <c r="D59" s="33">
        <v>200</v>
      </c>
      <c r="E59" s="133"/>
      <c r="F59" s="33"/>
      <c r="H59" s="131" t="s">
        <v>752</v>
      </c>
      <c r="I59" s="33" t="s">
        <v>753</v>
      </c>
      <c r="J59" s="131" t="s">
        <v>754</v>
      </c>
      <c r="K59" s="33">
        <v>200</v>
      </c>
      <c r="L59" s="133"/>
      <c r="M59" s="33"/>
    </row>
    <row r="60" spans="1:13" ht="12.75">
      <c r="A60" s="131" t="s">
        <v>755</v>
      </c>
      <c r="B60" s="33" t="s">
        <v>756</v>
      </c>
      <c r="C60" s="131" t="s">
        <v>757</v>
      </c>
      <c r="D60" s="33"/>
      <c r="E60" s="133"/>
      <c r="F60" s="33">
        <v>3.09</v>
      </c>
      <c r="H60" s="131" t="s">
        <v>755</v>
      </c>
      <c r="I60" s="33" t="s">
        <v>756</v>
      </c>
      <c r="J60" s="131" t="s">
        <v>757</v>
      </c>
      <c r="K60" s="33"/>
      <c r="L60" s="133"/>
      <c r="M60" s="33">
        <v>2.28</v>
      </c>
    </row>
    <row r="61" spans="1:13" ht="12.75">
      <c r="A61" s="134" t="s">
        <v>758</v>
      </c>
      <c r="B61" s="135" t="s">
        <v>759</v>
      </c>
      <c r="C61" s="134"/>
      <c r="D61" s="135"/>
      <c r="E61" s="135"/>
      <c r="F61" s="135"/>
      <c r="H61" s="134" t="s">
        <v>758</v>
      </c>
      <c r="I61" s="135" t="s">
        <v>759</v>
      </c>
      <c r="J61" s="134"/>
      <c r="K61" s="135"/>
      <c r="L61" s="135"/>
      <c r="M61" s="135"/>
    </row>
    <row r="62" spans="1:13" ht="12.75">
      <c r="A62" s="131">
        <v>1</v>
      </c>
      <c r="B62" s="33" t="s">
        <v>760</v>
      </c>
      <c r="C62" s="131" t="s">
        <v>533</v>
      </c>
      <c r="D62" s="34">
        <v>12000</v>
      </c>
      <c r="E62" s="132"/>
      <c r="F62" s="34">
        <v>10000</v>
      </c>
      <c r="H62" s="131">
        <v>1</v>
      </c>
      <c r="I62" s="33" t="s">
        <v>760</v>
      </c>
      <c r="J62" s="131" t="s">
        <v>533</v>
      </c>
      <c r="K62" s="34">
        <v>12000</v>
      </c>
      <c r="L62" s="132"/>
      <c r="M62" s="34">
        <v>7500</v>
      </c>
    </row>
    <row r="63" spans="1:13" ht="12.75">
      <c r="A63" s="131">
        <v>2</v>
      </c>
      <c r="B63" s="33" t="s">
        <v>761</v>
      </c>
      <c r="C63" s="131" t="s">
        <v>538</v>
      </c>
      <c r="D63" s="571">
        <f>(D49-D62)/D51</f>
        <v>1366.6666666666667</v>
      </c>
      <c r="E63" s="132"/>
      <c r="F63" s="571">
        <f>(F49-F62)/F51</f>
        <v>1800</v>
      </c>
      <c r="H63" s="131">
        <v>2</v>
      </c>
      <c r="I63" s="33" t="s">
        <v>761</v>
      </c>
      <c r="J63" s="131" t="s">
        <v>538</v>
      </c>
      <c r="K63" s="571">
        <f>(K49-K62)/K51</f>
        <v>1366.6666666666667</v>
      </c>
      <c r="L63" s="132"/>
      <c r="M63" s="571">
        <f>(M49-M62)/M51</f>
        <v>1110</v>
      </c>
    </row>
    <row r="64" spans="1:13" ht="12.75">
      <c r="A64" s="131">
        <v>3</v>
      </c>
      <c r="B64" s="33" t="s">
        <v>762</v>
      </c>
      <c r="C64" s="131" t="s">
        <v>538</v>
      </c>
      <c r="D64" s="571">
        <f>(D49+D62)/2</f>
        <v>22250</v>
      </c>
      <c r="E64" s="132"/>
      <c r="F64" s="571">
        <f>(F49+F62)/2</f>
        <v>19000</v>
      </c>
      <c r="H64" s="131">
        <v>3</v>
      </c>
      <c r="I64" s="33" t="s">
        <v>762</v>
      </c>
      <c r="J64" s="131" t="s">
        <v>538</v>
      </c>
      <c r="K64" s="571">
        <f>(K49+K62)/2</f>
        <v>22250</v>
      </c>
      <c r="L64" s="132"/>
      <c r="M64" s="571">
        <f>(M49+M62)/2</f>
        <v>13050</v>
      </c>
    </row>
    <row r="65" spans="1:13" ht="12.75">
      <c r="A65" s="131">
        <v>4</v>
      </c>
      <c r="B65" s="33" t="s">
        <v>763</v>
      </c>
      <c r="C65" s="131" t="s">
        <v>538</v>
      </c>
      <c r="D65" s="571">
        <f>D64*((D52/100-D53/100)/(1+D53/100))</f>
        <v>1660.44776119403</v>
      </c>
      <c r="E65" s="132"/>
      <c r="F65" s="571">
        <f>F64*((F52/100-F53/100)/(1+F53/100))</f>
        <v>1417.910447761194</v>
      </c>
      <c r="H65" s="131">
        <v>4</v>
      </c>
      <c r="I65" s="33" t="s">
        <v>763</v>
      </c>
      <c r="J65" s="131" t="s">
        <v>538</v>
      </c>
      <c r="K65" s="571">
        <f>K64*((K52/100-K53/100)/(1+K53/100))</f>
        <v>1660.44776119403</v>
      </c>
      <c r="L65" s="132"/>
      <c r="M65" s="571">
        <f>M64*((M52/100-M53/100)/(1+M53/100))</f>
        <v>973.8805970149255</v>
      </c>
    </row>
    <row r="66" spans="1:13" ht="12.75">
      <c r="A66" s="131">
        <v>5</v>
      </c>
      <c r="B66" s="33" t="s">
        <v>766</v>
      </c>
      <c r="C66" s="131" t="s">
        <v>765</v>
      </c>
      <c r="D66" s="571">
        <f>D48*0.01</f>
        <v>350</v>
      </c>
      <c r="E66" s="132"/>
      <c r="F66" s="571">
        <f>F48*0.01</f>
        <v>320</v>
      </c>
      <c r="H66" s="131">
        <v>5</v>
      </c>
      <c r="I66" s="33" t="s">
        <v>766</v>
      </c>
      <c r="J66" s="131" t="s">
        <v>765</v>
      </c>
      <c r="K66" s="571">
        <f>K48*0.01</f>
        <v>350</v>
      </c>
      <c r="L66" s="132"/>
      <c r="M66" s="571">
        <f>M48*0.01</f>
        <v>200</v>
      </c>
    </row>
    <row r="67" spans="1:13" ht="12.75">
      <c r="A67" s="134">
        <v>6</v>
      </c>
      <c r="B67" s="135" t="s">
        <v>767</v>
      </c>
      <c r="C67" s="134" t="s">
        <v>538</v>
      </c>
      <c r="D67" s="136">
        <f>D63+D65+D66</f>
        <v>3377.1144278606967</v>
      </c>
      <c r="E67" s="135"/>
      <c r="F67" s="136">
        <f>F63+F65+F66</f>
        <v>3537.910447761194</v>
      </c>
      <c r="H67" s="134">
        <v>6</v>
      </c>
      <c r="I67" s="135" t="s">
        <v>767</v>
      </c>
      <c r="J67" s="134" t="s">
        <v>538</v>
      </c>
      <c r="K67" s="136">
        <f>K63+K65+K66</f>
        <v>3377.1144278606967</v>
      </c>
      <c r="L67" s="135"/>
      <c r="M67" s="136">
        <f>M63+M65+M66</f>
        <v>2283.8805970149256</v>
      </c>
    </row>
    <row r="68" spans="1:13" ht="12.75">
      <c r="A68" s="134" t="s">
        <v>768</v>
      </c>
      <c r="B68" s="135" t="s">
        <v>769</v>
      </c>
      <c r="C68" s="134"/>
      <c r="D68" s="135"/>
      <c r="E68" s="135"/>
      <c r="F68" s="135"/>
      <c r="H68" s="134" t="s">
        <v>768</v>
      </c>
      <c r="I68" s="135" t="s">
        <v>769</v>
      </c>
      <c r="J68" s="134"/>
      <c r="K68" s="135"/>
      <c r="L68" s="135"/>
      <c r="M68" s="135"/>
    </row>
    <row r="69" spans="1:13" ht="12.75">
      <c r="A69" s="131">
        <v>7</v>
      </c>
      <c r="B69" s="33" t="s">
        <v>770</v>
      </c>
      <c r="C69" s="22" t="s">
        <v>740</v>
      </c>
      <c r="D69" s="572">
        <f>D51*D54+D50</f>
        <v>27000</v>
      </c>
      <c r="E69" s="133"/>
      <c r="F69" s="572">
        <f>F51*F54+F50</f>
        <v>10000</v>
      </c>
      <c r="H69" s="131">
        <v>7</v>
      </c>
      <c r="I69" s="33" t="s">
        <v>770</v>
      </c>
      <c r="J69" s="22" t="s">
        <v>740</v>
      </c>
      <c r="K69" s="572">
        <f>K51*K54+K50</f>
        <v>27000</v>
      </c>
      <c r="L69" s="133"/>
      <c r="M69" s="572">
        <f>M51*M54+M50</f>
        <v>7500</v>
      </c>
    </row>
    <row r="70" spans="1:13" ht="12.75">
      <c r="A70" s="131">
        <v>8</v>
      </c>
      <c r="B70" s="33" t="s">
        <v>771</v>
      </c>
      <c r="C70" s="131" t="s">
        <v>772</v>
      </c>
      <c r="D70" s="572">
        <v>7E-05</v>
      </c>
      <c r="E70" s="133"/>
      <c r="F70" s="572">
        <v>0.0002</v>
      </c>
      <c r="H70" s="131">
        <v>8</v>
      </c>
      <c r="I70" s="33" t="s">
        <v>771</v>
      </c>
      <c r="J70" s="131" t="s">
        <v>772</v>
      </c>
      <c r="K70" s="572">
        <v>7E-05</v>
      </c>
      <c r="L70" s="133"/>
      <c r="M70" s="572">
        <v>0.0002</v>
      </c>
    </row>
    <row r="71" spans="1:13" ht="12.75">
      <c r="A71" s="131">
        <v>9</v>
      </c>
      <c r="B71" s="33" t="s">
        <v>773</v>
      </c>
      <c r="C71" s="131" t="s">
        <v>565</v>
      </c>
      <c r="D71" s="571">
        <f>D70*D48</f>
        <v>2.4499999999999997</v>
      </c>
      <c r="E71" s="132"/>
      <c r="F71" s="571">
        <f>F70*F48</f>
        <v>6.4</v>
      </c>
      <c r="H71" s="131">
        <v>9</v>
      </c>
      <c r="I71" s="33" t="s">
        <v>773</v>
      </c>
      <c r="J71" s="131" t="s">
        <v>565</v>
      </c>
      <c r="K71" s="571">
        <f>K70*K48</f>
        <v>2.4499999999999997</v>
      </c>
      <c r="L71" s="132"/>
      <c r="M71" s="571">
        <f>M70*M48</f>
        <v>4</v>
      </c>
    </row>
    <row r="72" spans="1:13" ht="12.75">
      <c r="A72" s="131">
        <v>10</v>
      </c>
      <c r="B72" s="33" t="s">
        <v>774</v>
      </c>
      <c r="C72" s="131" t="s">
        <v>565</v>
      </c>
      <c r="D72" s="571">
        <f>D56*D57</f>
        <v>10.14</v>
      </c>
      <c r="E72" s="132"/>
      <c r="F72" s="571"/>
      <c r="H72" s="131">
        <v>10</v>
      </c>
      <c r="I72" s="33" t="s">
        <v>774</v>
      </c>
      <c r="J72" s="131" t="s">
        <v>565</v>
      </c>
      <c r="K72" s="571">
        <f>K56*K57</f>
        <v>10.14</v>
      </c>
      <c r="L72" s="132"/>
      <c r="M72" s="571"/>
    </row>
    <row r="73" spans="1:13" ht="12.75">
      <c r="A73" s="131">
        <v>11</v>
      </c>
      <c r="B73" s="33" t="s">
        <v>775</v>
      </c>
      <c r="C73" s="131" t="s">
        <v>565</v>
      </c>
      <c r="D73" s="571">
        <f>D58/D59</f>
        <v>5</v>
      </c>
      <c r="E73" s="132"/>
      <c r="F73" s="571"/>
      <c r="H73" s="131">
        <v>11</v>
      </c>
      <c r="I73" s="33" t="s">
        <v>775</v>
      </c>
      <c r="J73" s="131" t="s">
        <v>565</v>
      </c>
      <c r="K73" s="571">
        <f>K58/K59</f>
        <v>5</v>
      </c>
      <c r="L73" s="132"/>
      <c r="M73" s="571"/>
    </row>
    <row r="74" spans="1:13" ht="12.75">
      <c r="A74" s="134">
        <v>12</v>
      </c>
      <c r="B74" s="135" t="s">
        <v>776</v>
      </c>
      <c r="C74" s="134" t="s">
        <v>565</v>
      </c>
      <c r="D74" s="135">
        <f>D71+D72+D73</f>
        <v>17.59</v>
      </c>
      <c r="E74" s="135"/>
      <c r="F74" s="135">
        <f>F71+F72+F73</f>
        <v>6.4</v>
      </c>
      <c r="H74" s="134">
        <v>12</v>
      </c>
      <c r="I74" s="135" t="s">
        <v>776</v>
      </c>
      <c r="J74" s="134" t="s">
        <v>565</v>
      </c>
      <c r="K74" s="135">
        <f>K71+K72+K73</f>
        <v>17.59</v>
      </c>
      <c r="L74" s="135"/>
      <c r="M74" s="135">
        <f>M71+M72+M73</f>
        <v>4</v>
      </c>
    </row>
    <row r="75" spans="1:13" ht="12.75">
      <c r="A75" s="131">
        <v>13</v>
      </c>
      <c r="B75" s="33" t="s">
        <v>777</v>
      </c>
      <c r="C75" s="131" t="s">
        <v>565</v>
      </c>
      <c r="D75" s="571">
        <f>D67/D54</f>
        <v>1.8761746821448315</v>
      </c>
      <c r="E75" s="132"/>
      <c r="F75" s="571">
        <f>F67/F54</f>
        <v>3.537910447761194</v>
      </c>
      <c r="H75" s="131">
        <v>13</v>
      </c>
      <c r="I75" s="33" t="s">
        <v>777</v>
      </c>
      <c r="J75" s="131" t="s">
        <v>565</v>
      </c>
      <c r="K75" s="571">
        <f>K67/K54</f>
        <v>1.8761746821448315</v>
      </c>
      <c r="L75" s="132"/>
      <c r="M75" s="571">
        <f>M67/M54</f>
        <v>3.045174129353234</v>
      </c>
    </row>
    <row r="76" spans="1:13" ht="12.75">
      <c r="A76" s="131">
        <v>14</v>
      </c>
      <c r="B76" s="33" t="s">
        <v>778</v>
      </c>
      <c r="C76" s="131" t="s">
        <v>565</v>
      </c>
      <c r="D76" s="571">
        <f>D74+D75</f>
        <v>19.466174682144832</v>
      </c>
      <c r="E76" s="132"/>
      <c r="F76" s="571">
        <f>F74+F75</f>
        <v>9.937910447761194</v>
      </c>
      <c r="H76" s="131">
        <v>14</v>
      </c>
      <c r="I76" s="33" t="s">
        <v>778</v>
      </c>
      <c r="J76" s="131" t="s">
        <v>565</v>
      </c>
      <c r="K76" s="571">
        <f>K74+K75</f>
        <v>19.466174682144832</v>
      </c>
      <c r="L76" s="132"/>
      <c r="M76" s="571">
        <f>M74+M75</f>
        <v>7.045174129353234</v>
      </c>
    </row>
    <row r="77" spans="1:13" ht="12.75">
      <c r="A77" s="134">
        <v>15</v>
      </c>
      <c r="B77" s="135" t="s">
        <v>779</v>
      </c>
      <c r="C77" s="134" t="s">
        <v>565</v>
      </c>
      <c r="D77" s="135"/>
      <c r="E77" s="573">
        <f>D76+F76</f>
        <v>29.404085129906026</v>
      </c>
      <c r="F77" s="135"/>
      <c r="H77" s="134">
        <v>15</v>
      </c>
      <c r="I77" s="135" t="s">
        <v>779</v>
      </c>
      <c r="J77" s="134" t="s">
        <v>565</v>
      </c>
      <c r="K77" s="135"/>
      <c r="L77" s="573">
        <f>K76+M76</f>
        <v>26.511348811498067</v>
      </c>
      <c r="M77" s="135"/>
    </row>
    <row r="78" spans="1:13" ht="12.75">
      <c r="A78" s="134">
        <v>16</v>
      </c>
      <c r="B78" s="135" t="s">
        <v>780</v>
      </c>
      <c r="C78" s="134" t="s">
        <v>561</v>
      </c>
      <c r="D78" s="135"/>
      <c r="E78" s="573">
        <f>E77/F60</f>
        <v>9.515885155309395</v>
      </c>
      <c r="F78" s="135"/>
      <c r="H78" s="134">
        <v>16</v>
      </c>
      <c r="I78" s="135" t="s">
        <v>780</v>
      </c>
      <c r="J78" s="134" t="s">
        <v>561</v>
      </c>
      <c r="K78" s="135"/>
      <c r="L78" s="573">
        <f>L77/M60</f>
        <v>11.627784566446522</v>
      </c>
      <c r="M78" s="135"/>
    </row>
    <row r="81" ht="13.5" thickBot="1"/>
    <row r="82" spans="2:13" ht="18.75" thickBot="1">
      <c r="B82" s="1115" t="s">
        <v>717</v>
      </c>
      <c r="C82" s="1116"/>
      <c r="D82" s="1116"/>
      <c r="E82" s="1116"/>
      <c r="F82" s="1117"/>
      <c r="I82" s="1115" t="s">
        <v>717</v>
      </c>
      <c r="J82" s="1116"/>
      <c r="K82" s="1116"/>
      <c r="L82" s="1116"/>
      <c r="M82" s="1117"/>
    </row>
    <row r="83" spans="1:13" ht="13.5" thickBot="1">
      <c r="A83" s="38"/>
      <c r="B83" s="126" t="s">
        <v>718</v>
      </c>
      <c r="C83" s="126" t="s">
        <v>719</v>
      </c>
      <c r="D83" s="126" t="s">
        <v>720</v>
      </c>
      <c r="E83" s="127"/>
      <c r="F83" s="128" t="s">
        <v>721</v>
      </c>
      <c r="H83" s="38"/>
      <c r="I83" s="126" t="s">
        <v>718</v>
      </c>
      <c r="J83" s="126" t="s">
        <v>719</v>
      </c>
      <c r="K83" s="126" t="s">
        <v>720</v>
      </c>
      <c r="L83" s="127"/>
      <c r="M83" s="128" t="s">
        <v>721</v>
      </c>
    </row>
    <row r="84" spans="1:13" ht="12.75">
      <c r="A84" s="129" t="s">
        <v>723</v>
      </c>
      <c r="B84" s="31" t="s">
        <v>724</v>
      </c>
      <c r="C84" s="129" t="s">
        <v>533</v>
      </c>
      <c r="D84" s="32"/>
      <c r="E84" s="130"/>
      <c r="F84" s="32"/>
      <c r="H84" s="129" t="s">
        <v>723</v>
      </c>
      <c r="I84" s="31" t="s">
        <v>724</v>
      </c>
      <c r="J84" s="129" t="s">
        <v>533</v>
      </c>
      <c r="K84" s="32"/>
      <c r="L84" s="130"/>
      <c r="M84" s="32"/>
    </row>
    <row r="85" spans="1:13" ht="12.75">
      <c r="A85" s="131" t="s">
        <v>725</v>
      </c>
      <c r="B85" s="33" t="s">
        <v>726</v>
      </c>
      <c r="C85" s="131" t="s">
        <v>533</v>
      </c>
      <c r="D85" s="34"/>
      <c r="E85" s="132"/>
      <c r="F85" s="34"/>
      <c r="H85" s="131" t="s">
        <v>725</v>
      </c>
      <c r="I85" s="33" t="s">
        <v>726</v>
      </c>
      <c r="J85" s="131" t="s">
        <v>533</v>
      </c>
      <c r="K85" s="34"/>
      <c r="L85" s="132"/>
      <c r="M85" s="34"/>
    </row>
    <row r="86" spans="1:13" ht="12.75">
      <c r="A86" s="131" t="s">
        <v>727</v>
      </c>
      <c r="B86" s="33" t="s">
        <v>728</v>
      </c>
      <c r="C86" s="131" t="s">
        <v>729</v>
      </c>
      <c r="D86" s="33"/>
      <c r="E86" s="133"/>
      <c r="F86" s="33"/>
      <c r="H86" s="131" t="s">
        <v>727</v>
      </c>
      <c r="I86" s="33" t="s">
        <v>728</v>
      </c>
      <c r="J86" s="131" t="s">
        <v>729</v>
      </c>
      <c r="K86" s="33"/>
      <c r="L86" s="133"/>
      <c r="M86" s="33"/>
    </row>
    <row r="87" spans="1:13" ht="12.75">
      <c r="A87" s="131" t="s">
        <v>730</v>
      </c>
      <c r="B87" s="33" t="s">
        <v>731</v>
      </c>
      <c r="C87" s="131" t="s">
        <v>732</v>
      </c>
      <c r="D87" s="33"/>
      <c r="E87" s="133"/>
      <c r="F87" s="33"/>
      <c r="H87" s="131" t="s">
        <v>730</v>
      </c>
      <c r="I87" s="33" t="s">
        <v>731</v>
      </c>
      <c r="J87" s="131" t="s">
        <v>732</v>
      </c>
      <c r="K87" s="33"/>
      <c r="L87" s="133"/>
      <c r="M87" s="33"/>
    </row>
    <row r="88" spans="1:13" ht="12.75">
      <c r="A88" s="131" t="s">
        <v>733</v>
      </c>
      <c r="B88" s="33" t="s">
        <v>734</v>
      </c>
      <c r="C88" s="131" t="s">
        <v>735</v>
      </c>
      <c r="D88" s="33"/>
      <c r="E88" s="133"/>
      <c r="F88" s="33"/>
      <c r="H88" s="131" t="s">
        <v>733</v>
      </c>
      <c r="I88" s="33" t="s">
        <v>734</v>
      </c>
      <c r="J88" s="131" t="s">
        <v>735</v>
      </c>
      <c r="K88" s="33"/>
      <c r="L88" s="133"/>
      <c r="M88" s="33"/>
    </row>
    <row r="89" spans="1:13" ht="12.75">
      <c r="A89" s="131" t="s">
        <v>736</v>
      </c>
      <c r="B89" s="33" t="s">
        <v>737</v>
      </c>
      <c r="C89" s="131" t="s">
        <v>735</v>
      </c>
      <c r="D89" s="33"/>
      <c r="E89" s="133"/>
      <c r="F89" s="33"/>
      <c r="H89" s="131" t="s">
        <v>736</v>
      </c>
      <c r="I89" s="33" t="s">
        <v>737</v>
      </c>
      <c r="J89" s="131" t="s">
        <v>735</v>
      </c>
      <c r="K89" s="33"/>
      <c r="L89" s="133"/>
      <c r="M89" s="33"/>
    </row>
    <row r="90" spans="1:13" ht="12.75">
      <c r="A90" s="131" t="s">
        <v>738</v>
      </c>
      <c r="B90" s="33" t="s">
        <v>739</v>
      </c>
      <c r="C90" s="131" t="s">
        <v>729</v>
      </c>
      <c r="D90" s="33"/>
      <c r="E90" s="133"/>
      <c r="F90" s="33"/>
      <c r="H90" s="131" t="s">
        <v>738</v>
      </c>
      <c r="I90" s="33" t="s">
        <v>739</v>
      </c>
      <c r="J90" s="131" t="s">
        <v>729</v>
      </c>
      <c r="K90" s="33"/>
      <c r="L90" s="133"/>
      <c r="M90" s="33"/>
    </row>
    <row r="91" spans="1:13" ht="12.75">
      <c r="A91" s="131" t="s">
        <v>740</v>
      </c>
      <c r="B91" s="33" t="s">
        <v>741</v>
      </c>
      <c r="C91" s="131" t="s">
        <v>742</v>
      </c>
      <c r="D91" s="33"/>
      <c r="E91" s="133"/>
      <c r="F91" s="33"/>
      <c r="H91" s="131" t="s">
        <v>740</v>
      </c>
      <c r="I91" s="33" t="s">
        <v>741</v>
      </c>
      <c r="J91" s="131" t="s">
        <v>742</v>
      </c>
      <c r="K91" s="33"/>
      <c r="L91" s="133"/>
      <c r="M91" s="33"/>
    </row>
    <row r="92" spans="1:13" ht="12.75">
      <c r="A92" s="131" t="s">
        <v>743</v>
      </c>
      <c r="B92" s="33" t="s">
        <v>744</v>
      </c>
      <c r="C92" s="131" t="s">
        <v>745</v>
      </c>
      <c r="D92" s="33"/>
      <c r="E92" s="133"/>
      <c r="F92" s="33"/>
      <c r="H92" s="131" t="s">
        <v>743</v>
      </c>
      <c r="I92" s="33" t="s">
        <v>744</v>
      </c>
      <c r="J92" s="131" t="s">
        <v>745</v>
      </c>
      <c r="K92" s="33"/>
      <c r="L92" s="133"/>
      <c r="M92" s="33"/>
    </row>
    <row r="93" spans="1:13" ht="12.75">
      <c r="A93" s="131" t="s">
        <v>746</v>
      </c>
      <c r="B93" s="33" t="s">
        <v>747</v>
      </c>
      <c r="C93" s="131" t="s">
        <v>748</v>
      </c>
      <c r="D93" s="33"/>
      <c r="E93" s="133"/>
      <c r="F93" s="33"/>
      <c r="H93" s="131" t="s">
        <v>746</v>
      </c>
      <c r="I93" s="33" t="s">
        <v>747</v>
      </c>
      <c r="J93" s="131" t="s">
        <v>748</v>
      </c>
      <c r="K93" s="33"/>
      <c r="L93" s="133"/>
      <c r="M93" s="33"/>
    </row>
    <row r="94" spans="1:13" ht="12.75">
      <c r="A94" s="131" t="s">
        <v>749</v>
      </c>
      <c r="B94" s="33" t="s">
        <v>750</v>
      </c>
      <c r="C94" s="131" t="s">
        <v>751</v>
      </c>
      <c r="D94" s="33"/>
      <c r="E94" s="133"/>
      <c r="F94" s="33"/>
      <c r="H94" s="131" t="s">
        <v>749</v>
      </c>
      <c r="I94" s="33" t="s">
        <v>750</v>
      </c>
      <c r="J94" s="131" t="s">
        <v>751</v>
      </c>
      <c r="K94" s="33"/>
      <c r="L94" s="133"/>
      <c r="M94" s="33"/>
    </row>
    <row r="95" spans="1:13" ht="12.75">
      <c r="A95" s="131" t="s">
        <v>752</v>
      </c>
      <c r="B95" s="33" t="s">
        <v>753</v>
      </c>
      <c r="C95" s="131" t="s">
        <v>754</v>
      </c>
      <c r="D95" s="33"/>
      <c r="E95" s="133"/>
      <c r="F95" s="33"/>
      <c r="H95" s="131" t="s">
        <v>752</v>
      </c>
      <c r="I95" s="33" t="s">
        <v>753</v>
      </c>
      <c r="J95" s="131" t="s">
        <v>754</v>
      </c>
      <c r="K95" s="33"/>
      <c r="L95" s="133"/>
      <c r="M95" s="33"/>
    </row>
    <row r="96" spans="1:13" ht="12.75">
      <c r="A96" s="131" t="s">
        <v>755</v>
      </c>
      <c r="B96" s="33" t="s">
        <v>756</v>
      </c>
      <c r="C96" s="131" t="s">
        <v>757</v>
      </c>
      <c r="D96" s="33"/>
      <c r="E96" s="133"/>
      <c r="F96" s="33"/>
      <c r="H96" s="131" t="s">
        <v>755</v>
      </c>
      <c r="I96" s="33" t="s">
        <v>756</v>
      </c>
      <c r="J96" s="131" t="s">
        <v>757</v>
      </c>
      <c r="K96" s="33"/>
      <c r="L96" s="133"/>
      <c r="M96" s="33"/>
    </row>
    <row r="97" spans="1:13" ht="12.75">
      <c r="A97" s="134" t="s">
        <v>758</v>
      </c>
      <c r="B97" s="135" t="s">
        <v>759</v>
      </c>
      <c r="C97" s="134"/>
      <c r="D97" s="135"/>
      <c r="E97" s="135"/>
      <c r="F97" s="135"/>
      <c r="H97" s="134" t="s">
        <v>758</v>
      </c>
      <c r="I97" s="135" t="s">
        <v>759</v>
      </c>
      <c r="J97" s="134"/>
      <c r="K97" s="135"/>
      <c r="L97" s="135"/>
      <c r="M97" s="135"/>
    </row>
    <row r="98" spans="1:13" ht="12.75">
      <c r="A98" s="131">
        <v>1</v>
      </c>
      <c r="B98" s="33" t="s">
        <v>760</v>
      </c>
      <c r="C98" s="131" t="s">
        <v>533</v>
      </c>
      <c r="D98" s="34"/>
      <c r="E98" s="132"/>
      <c r="F98" s="34"/>
      <c r="H98" s="131">
        <v>1</v>
      </c>
      <c r="I98" s="33" t="s">
        <v>760</v>
      </c>
      <c r="J98" s="131" t="s">
        <v>533</v>
      </c>
      <c r="K98" s="34"/>
      <c r="L98" s="132"/>
      <c r="M98" s="34"/>
    </row>
    <row r="99" spans="1:13" ht="12.75">
      <c r="A99" s="131">
        <v>2</v>
      </c>
      <c r="B99" s="33" t="s">
        <v>761</v>
      </c>
      <c r="C99" s="131" t="s">
        <v>538</v>
      </c>
      <c r="D99" s="571" t="e">
        <f>(D85-D98)/D87</f>
        <v>#DIV/0!</v>
      </c>
      <c r="E99" s="132"/>
      <c r="F99" s="571" t="e">
        <f>(F85-F98)/F87</f>
        <v>#DIV/0!</v>
      </c>
      <c r="H99" s="131">
        <v>2</v>
      </c>
      <c r="I99" s="33" t="s">
        <v>761</v>
      </c>
      <c r="J99" s="131" t="s">
        <v>538</v>
      </c>
      <c r="K99" s="571" t="e">
        <f>(K85-K98)/K87</f>
        <v>#DIV/0!</v>
      </c>
      <c r="L99" s="132"/>
      <c r="M99" s="571" t="e">
        <f>(M85-M98)/M87</f>
        <v>#DIV/0!</v>
      </c>
    </row>
    <row r="100" spans="1:13" ht="12.75">
      <c r="A100" s="131">
        <v>3</v>
      </c>
      <c r="B100" s="33" t="s">
        <v>762</v>
      </c>
      <c r="C100" s="131" t="s">
        <v>538</v>
      </c>
      <c r="D100" s="571">
        <f>(D85+D98)/2</f>
        <v>0</v>
      </c>
      <c r="E100" s="132"/>
      <c r="F100" s="571">
        <f>(F85+F98)/2</f>
        <v>0</v>
      </c>
      <c r="H100" s="131">
        <v>3</v>
      </c>
      <c r="I100" s="33" t="s">
        <v>762</v>
      </c>
      <c r="J100" s="131" t="s">
        <v>538</v>
      </c>
      <c r="K100" s="571">
        <f>(K85+K98)/2</f>
        <v>0</v>
      </c>
      <c r="L100" s="132"/>
      <c r="M100" s="571">
        <f>(M85+M98)/2</f>
        <v>0</v>
      </c>
    </row>
    <row r="101" spans="1:13" ht="12.75">
      <c r="A101" s="131">
        <v>4</v>
      </c>
      <c r="B101" s="33" t="s">
        <v>763</v>
      </c>
      <c r="C101" s="131" t="s">
        <v>538</v>
      </c>
      <c r="D101" s="571">
        <f>D100*(D88-D89)/100</f>
        <v>0</v>
      </c>
      <c r="E101" s="132"/>
      <c r="F101" s="571">
        <f>F100*(F88-F89)/100</f>
        <v>0</v>
      </c>
      <c r="H101" s="131">
        <v>4</v>
      </c>
      <c r="I101" s="33" t="s">
        <v>763</v>
      </c>
      <c r="J101" s="131" t="s">
        <v>538</v>
      </c>
      <c r="K101" s="571">
        <f>K100*(K88-K89)/100</f>
        <v>0</v>
      </c>
      <c r="L101" s="132"/>
      <c r="M101" s="571">
        <f>M100*(M88-M89)/100</f>
        <v>0</v>
      </c>
    </row>
    <row r="102" spans="1:13" ht="12.75">
      <c r="A102" s="131">
        <v>5</v>
      </c>
      <c r="B102" s="33" t="s">
        <v>766</v>
      </c>
      <c r="C102" s="131" t="s">
        <v>765</v>
      </c>
      <c r="D102" s="571">
        <f>D84*0.01</f>
        <v>0</v>
      </c>
      <c r="E102" s="132"/>
      <c r="F102" s="571">
        <f>F84*0.01</f>
        <v>0</v>
      </c>
      <c r="H102" s="131">
        <v>5</v>
      </c>
      <c r="I102" s="33" t="s">
        <v>766</v>
      </c>
      <c r="J102" s="131" t="s">
        <v>765</v>
      </c>
      <c r="K102" s="571">
        <f>K84*0.01</f>
        <v>0</v>
      </c>
      <c r="L102" s="132"/>
      <c r="M102" s="571">
        <f>M84*0.01</f>
        <v>0</v>
      </c>
    </row>
    <row r="103" spans="1:13" ht="12.75">
      <c r="A103" s="134">
        <v>6</v>
      </c>
      <c r="B103" s="135" t="s">
        <v>767</v>
      </c>
      <c r="C103" s="134" t="s">
        <v>538</v>
      </c>
      <c r="D103" s="136" t="e">
        <f>D99+D101+D102</f>
        <v>#DIV/0!</v>
      </c>
      <c r="E103" s="135"/>
      <c r="F103" s="136" t="e">
        <f>F99+F101+F102</f>
        <v>#DIV/0!</v>
      </c>
      <c r="H103" s="134">
        <v>6</v>
      </c>
      <c r="I103" s="135" t="s">
        <v>767</v>
      </c>
      <c r="J103" s="134" t="s">
        <v>538</v>
      </c>
      <c r="K103" s="136" t="e">
        <f>K99+K101+K102</f>
        <v>#DIV/0!</v>
      </c>
      <c r="L103" s="135"/>
      <c r="M103" s="136" t="e">
        <f>M99+M101+M102</f>
        <v>#DIV/0!</v>
      </c>
    </row>
    <row r="104" spans="1:13" ht="12.75">
      <c r="A104" s="134" t="s">
        <v>768</v>
      </c>
      <c r="B104" s="135" t="s">
        <v>769</v>
      </c>
      <c r="C104" s="134"/>
      <c r="D104" s="135"/>
      <c r="E104" s="135"/>
      <c r="F104" s="135"/>
      <c r="H104" s="134" t="s">
        <v>768</v>
      </c>
      <c r="I104" s="135" t="s">
        <v>769</v>
      </c>
      <c r="J104" s="134"/>
      <c r="K104" s="135"/>
      <c r="L104" s="135"/>
      <c r="M104" s="135"/>
    </row>
    <row r="105" spans="1:13" ht="12.75">
      <c r="A105" s="131">
        <v>7</v>
      </c>
      <c r="B105" s="33" t="s">
        <v>770</v>
      </c>
      <c r="C105" s="22" t="s">
        <v>740</v>
      </c>
      <c r="D105" s="572">
        <f>D87*D90+D86</f>
        <v>0</v>
      </c>
      <c r="E105" s="133"/>
      <c r="F105" s="572">
        <f>F87*F90+F86</f>
        <v>0</v>
      </c>
      <c r="H105" s="131">
        <v>7</v>
      </c>
      <c r="I105" s="33" t="s">
        <v>770</v>
      </c>
      <c r="J105" s="22" t="s">
        <v>740</v>
      </c>
      <c r="K105" s="572">
        <f>K87*K90+K86</f>
        <v>0</v>
      </c>
      <c r="L105" s="133"/>
      <c r="M105" s="572">
        <f>M87*M90+M86</f>
        <v>0</v>
      </c>
    </row>
    <row r="106" spans="1:13" ht="12.75">
      <c r="A106" s="131">
        <v>8</v>
      </c>
      <c r="B106" s="33" t="s">
        <v>771</v>
      </c>
      <c r="C106" s="131" t="s">
        <v>772</v>
      </c>
      <c r="D106" s="572"/>
      <c r="E106" s="133"/>
      <c r="F106" s="572"/>
      <c r="H106" s="131">
        <v>8</v>
      </c>
      <c r="I106" s="33" t="s">
        <v>771</v>
      </c>
      <c r="J106" s="131" t="s">
        <v>772</v>
      </c>
      <c r="K106" s="572"/>
      <c r="L106" s="133"/>
      <c r="M106" s="572"/>
    </row>
    <row r="107" spans="1:13" ht="12.75">
      <c r="A107" s="131">
        <v>9</v>
      </c>
      <c r="B107" s="33" t="s">
        <v>773</v>
      </c>
      <c r="C107" s="131" t="s">
        <v>565</v>
      </c>
      <c r="D107" s="571">
        <f>D106*D84</f>
        <v>0</v>
      </c>
      <c r="E107" s="132"/>
      <c r="F107" s="571">
        <f>F106*F84</f>
        <v>0</v>
      </c>
      <c r="H107" s="131">
        <v>9</v>
      </c>
      <c r="I107" s="33" t="s">
        <v>773</v>
      </c>
      <c r="J107" s="131" t="s">
        <v>565</v>
      </c>
      <c r="K107" s="571">
        <f>K106*K84</f>
        <v>0</v>
      </c>
      <c r="L107" s="132"/>
      <c r="M107" s="571">
        <f>M106*M84</f>
        <v>0</v>
      </c>
    </row>
    <row r="108" spans="1:13" ht="12.75">
      <c r="A108" s="131">
        <v>10</v>
      </c>
      <c r="B108" s="33" t="s">
        <v>774</v>
      </c>
      <c r="C108" s="131" t="s">
        <v>565</v>
      </c>
      <c r="D108" s="571">
        <f>D92*D93</f>
        <v>0</v>
      </c>
      <c r="E108" s="132"/>
      <c r="F108" s="571"/>
      <c r="H108" s="131">
        <v>10</v>
      </c>
      <c r="I108" s="33" t="s">
        <v>774</v>
      </c>
      <c r="J108" s="131" t="s">
        <v>565</v>
      </c>
      <c r="K108" s="571">
        <f>K92*K93</f>
        <v>0</v>
      </c>
      <c r="L108" s="132"/>
      <c r="M108" s="571"/>
    </row>
    <row r="109" spans="1:13" ht="12.75">
      <c r="A109" s="131">
        <v>11</v>
      </c>
      <c r="B109" s="33" t="s">
        <v>775</v>
      </c>
      <c r="C109" s="131" t="s">
        <v>565</v>
      </c>
      <c r="D109" s="571" t="e">
        <f>D94/D95</f>
        <v>#DIV/0!</v>
      </c>
      <c r="E109" s="132"/>
      <c r="F109" s="571"/>
      <c r="H109" s="131">
        <v>11</v>
      </c>
      <c r="I109" s="33" t="s">
        <v>775</v>
      </c>
      <c r="J109" s="131" t="s">
        <v>565</v>
      </c>
      <c r="K109" s="571" t="e">
        <f>K94/K95</f>
        <v>#DIV/0!</v>
      </c>
      <c r="L109" s="132"/>
      <c r="M109" s="571"/>
    </row>
    <row r="110" spans="1:13" ht="12.75">
      <c r="A110" s="134">
        <v>12</v>
      </c>
      <c r="B110" s="135" t="s">
        <v>776</v>
      </c>
      <c r="C110" s="134" t="s">
        <v>565</v>
      </c>
      <c r="D110" s="135" t="e">
        <f>D107+D108+D109</f>
        <v>#DIV/0!</v>
      </c>
      <c r="E110" s="135"/>
      <c r="F110" s="135">
        <f>F107+F108+F109</f>
        <v>0</v>
      </c>
      <c r="H110" s="134">
        <v>12</v>
      </c>
      <c r="I110" s="135" t="s">
        <v>776</v>
      </c>
      <c r="J110" s="134" t="s">
        <v>565</v>
      </c>
      <c r="K110" s="135" t="e">
        <f>K107+K108+K109</f>
        <v>#DIV/0!</v>
      </c>
      <c r="L110" s="135"/>
      <c r="M110" s="135">
        <f>M107+M108+M109</f>
        <v>0</v>
      </c>
    </row>
    <row r="111" spans="1:13" ht="12.75">
      <c r="A111" s="131">
        <v>13</v>
      </c>
      <c r="B111" s="33" t="s">
        <v>777</v>
      </c>
      <c r="C111" s="131" t="s">
        <v>565</v>
      </c>
      <c r="D111" s="571" t="e">
        <f>D103/D90</f>
        <v>#DIV/0!</v>
      </c>
      <c r="E111" s="132"/>
      <c r="F111" s="571" t="e">
        <f>F103/F90</f>
        <v>#DIV/0!</v>
      </c>
      <c r="H111" s="131">
        <v>13</v>
      </c>
      <c r="I111" s="33" t="s">
        <v>777</v>
      </c>
      <c r="J111" s="131" t="s">
        <v>565</v>
      </c>
      <c r="K111" s="571" t="e">
        <f>K103/K90</f>
        <v>#DIV/0!</v>
      </c>
      <c r="L111" s="132"/>
      <c r="M111" s="571" t="e">
        <f>M103/M90</f>
        <v>#DIV/0!</v>
      </c>
    </row>
    <row r="112" spans="1:13" ht="12.75">
      <c r="A112" s="131">
        <v>14</v>
      </c>
      <c r="B112" s="33" t="s">
        <v>778</v>
      </c>
      <c r="C112" s="131" t="s">
        <v>565</v>
      </c>
      <c r="D112" s="571" t="e">
        <f>D110+D111</f>
        <v>#DIV/0!</v>
      </c>
      <c r="E112" s="132"/>
      <c r="F112" s="571" t="e">
        <f>F110+F111</f>
        <v>#DIV/0!</v>
      </c>
      <c r="H112" s="131">
        <v>14</v>
      </c>
      <c r="I112" s="33" t="s">
        <v>778</v>
      </c>
      <c r="J112" s="131" t="s">
        <v>565</v>
      </c>
      <c r="K112" s="571" t="e">
        <f>K110+K111</f>
        <v>#DIV/0!</v>
      </c>
      <c r="L112" s="132"/>
      <c r="M112" s="571" t="e">
        <f>M110+M111</f>
        <v>#DIV/0!</v>
      </c>
    </row>
    <row r="113" spans="1:13" ht="12.75">
      <c r="A113" s="134">
        <v>15</v>
      </c>
      <c r="B113" s="135" t="s">
        <v>779</v>
      </c>
      <c r="C113" s="134" t="s">
        <v>565</v>
      </c>
      <c r="D113" s="135"/>
      <c r="E113" s="573" t="e">
        <f>D112+F112</f>
        <v>#DIV/0!</v>
      </c>
      <c r="F113" s="135"/>
      <c r="H113" s="134">
        <v>15</v>
      </c>
      <c r="I113" s="135" t="s">
        <v>779</v>
      </c>
      <c r="J113" s="134" t="s">
        <v>565</v>
      </c>
      <c r="K113" s="135"/>
      <c r="L113" s="573" t="e">
        <f>K112+M112</f>
        <v>#DIV/0!</v>
      </c>
      <c r="M113" s="135"/>
    </row>
    <row r="114" spans="1:13" ht="12.75">
      <c r="A114" s="134">
        <v>16</v>
      </c>
      <c r="B114" s="135" t="s">
        <v>780</v>
      </c>
      <c r="C114" s="134" t="s">
        <v>561</v>
      </c>
      <c r="D114" s="135"/>
      <c r="E114" s="573" t="e">
        <f>E113/F96</f>
        <v>#DIV/0!</v>
      </c>
      <c r="F114" s="135"/>
      <c r="H114" s="134">
        <v>16</v>
      </c>
      <c r="I114" s="135" t="s">
        <v>780</v>
      </c>
      <c r="J114" s="134" t="s">
        <v>561</v>
      </c>
      <c r="K114" s="135"/>
      <c r="L114" s="573" t="e">
        <f>L113/M96</f>
        <v>#DIV/0!</v>
      </c>
      <c r="M114" s="135"/>
    </row>
  </sheetData>
  <sheetProtection/>
  <mergeCells count="12">
    <mergeCell ref="B82:F82"/>
    <mergeCell ref="I82:M82"/>
    <mergeCell ref="A6:M6"/>
    <mergeCell ref="A7:M7"/>
    <mergeCell ref="B9:F9"/>
    <mergeCell ref="I9:M9"/>
    <mergeCell ref="A2:M2"/>
    <mergeCell ref="A3:M3"/>
    <mergeCell ref="A4:M4"/>
    <mergeCell ref="A5:M5"/>
    <mergeCell ref="B46:F46"/>
    <mergeCell ref="I46:M46"/>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2:G48"/>
  <sheetViews>
    <sheetView showGridLines="0" zoomScalePageLayoutView="0" workbookViewId="0" topLeftCell="A1">
      <selection activeCell="G47" sqref="G47"/>
    </sheetView>
  </sheetViews>
  <sheetFormatPr defaultColWidth="11.421875" defaultRowHeight="12.75"/>
  <cols>
    <col min="1" max="1" width="28.57421875" style="0" customWidth="1"/>
    <col min="2" max="2" width="9.140625" style="0" customWidth="1"/>
    <col min="3" max="3" width="8.7109375" style="0" customWidth="1"/>
    <col min="4" max="4" width="9.8515625" style="0" customWidth="1"/>
    <col min="5" max="5" width="8.421875" style="0" customWidth="1"/>
    <col min="6" max="6" width="9.8515625" style="0" customWidth="1"/>
    <col min="7" max="7" width="10.140625" style="0" customWidth="1"/>
  </cols>
  <sheetData>
    <row r="2" spans="1:7" ht="15.75">
      <c r="A2" s="1123" t="s">
        <v>145</v>
      </c>
      <c r="B2" s="1123"/>
      <c r="C2" s="1123"/>
      <c r="D2" s="1123"/>
      <c r="E2" s="1123"/>
      <c r="F2" s="1123"/>
      <c r="G2" s="1123"/>
    </row>
    <row r="3" ht="13.5" thickBot="1"/>
    <row r="4" spans="1:7" ht="13.5" thickBot="1">
      <c r="A4" s="1126" t="s">
        <v>783</v>
      </c>
      <c r="B4" s="1126" t="s">
        <v>139</v>
      </c>
      <c r="C4" s="1124" t="s">
        <v>782</v>
      </c>
      <c r="D4" s="1125"/>
      <c r="E4" s="574"/>
      <c r="F4" s="575"/>
      <c r="G4" s="575"/>
    </row>
    <row r="5" spans="1:7" ht="12.75">
      <c r="A5" s="1127"/>
      <c r="B5" s="1127"/>
      <c r="C5" s="1129" t="s">
        <v>140</v>
      </c>
      <c r="D5" s="1129" t="s">
        <v>141</v>
      </c>
      <c r="E5" s="1121" t="s">
        <v>142</v>
      </c>
      <c r="F5" s="1121" t="s">
        <v>143</v>
      </c>
      <c r="G5" s="1121" t="s">
        <v>144</v>
      </c>
    </row>
    <row r="6" spans="1:7" ht="24" customHeight="1" thickBot="1">
      <c r="A6" s="1128"/>
      <c r="B6" s="1128"/>
      <c r="C6" s="1122"/>
      <c r="D6" s="1122"/>
      <c r="E6" s="1122"/>
      <c r="F6" s="1122"/>
      <c r="G6" s="1122"/>
    </row>
    <row r="7" spans="1:7" ht="12.75">
      <c r="A7" s="138" t="s">
        <v>785</v>
      </c>
      <c r="B7" s="139">
        <v>3.2</v>
      </c>
      <c r="C7" s="140">
        <v>1</v>
      </c>
      <c r="D7" s="139">
        <v>0.85</v>
      </c>
      <c r="E7" s="140">
        <v>6</v>
      </c>
      <c r="F7" s="139">
        <f aca="true" t="shared" si="0" ref="F7:F38">B7*C7*D7*E7*0.1</f>
        <v>1.6320000000000001</v>
      </c>
      <c r="G7" s="141">
        <f aca="true" t="shared" si="1" ref="G7:G38">1/F7</f>
        <v>0.6127450980392156</v>
      </c>
    </row>
    <row r="8" spans="1:7" ht="12.75">
      <c r="A8" s="142" t="s">
        <v>786</v>
      </c>
      <c r="B8" s="143">
        <v>3.25</v>
      </c>
      <c r="C8" s="144">
        <v>1</v>
      </c>
      <c r="D8" s="143">
        <v>0.85</v>
      </c>
      <c r="E8" s="144">
        <v>7</v>
      </c>
      <c r="F8" s="143">
        <f t="shared" si="0"/>
        <v>1.9337499999999999</v>
      </c>
      <c r="G8" s="145">
        <f t="shared" si="1"/>
        <v>0.5171299288946348</v>
      </c>
    </row>
    <row r="9" spans="1:7" ht="12.75">
      <c r="A9" s="142" t="s">
        <v>787</v>
      </c>
      <c r="B9" s="143">
        <v>3.2</v>
      </c>
      <c r="C9" s="144">
        <v>1</v>
      </c>
      <c r="D9" s="143">
        <v>0.85</v>
      </c>
      <c r="E9" s="144">
        <v>7</v>
      </c>
      <c r="F9" s="143">
        <f t="shared" si="0"/>
        <v>1.9040000000000004</v>
      </c>
      <c r="G9" s="145">
        <f t="shared" si="1"/>
        <v>0.5252100840336134</v>
      </c>
    </row>
    <row r="10" spans="1:7" ht="12.75">
      <c r="A10" s="142" t="s">
        <v>788</v>
      </c>
      <c r="B10" s="143">
        <v>3.85</v>
      </c>
      <c r="C10" s="146">
        <v>0.95</v>
      </c>
      <c r="D10" s="143">
        <v>0.85</v>
      </c>
      <c r="E10" s="144">
        <v>7</v>
      </c>
      <c r="F10" s="143">
        <f t="shared" si="0"/>
        <v>2.1762124999999997</v>
      </c>
      <c r="G10" s="145">
        <f t="shared" si="1"/>
        <v>0.45951394912031807</v>
      </c>
    </row>
    <row r="11" spans="1:7" ht="12.75">
      <c r="A11" s="142" t="s">
        <v>789</v>
      </c>
      <c r="B11" s="143">
        <v>2.9</v>
      </c>
      <c r="C11" s="146">
        <v>0.9</v>
      </c>
      <c r="D11" s="143">
        <v>0.85</v>
      </c>
      <c r="E11" s="144">
        <v>6</v>
      </c>
      <c r="F11" s="143">
        <f t="shared" si="0"/>
        <v>1.3311</v>
      </c>
      <c r="G11" s="145">
        <f t="shared" si="1"/>
        <v>0.75125835774923</v>
      </c>
    </row>
    <row r="12" spans="1:7" ht="12.75">
      <c r="A12" s="142" t="s">
        <v>790</v>
      </c>
      <c r="B12" s="143">
        <v>4.25</v>
      </c>
      <c r="C12" s="146">
        <v>0.9</v>
      </c>
      <c r="D12" s="143">
        <v>0.8</v>
      </c>
      <c r="E12" s="144">
        <v>6</v>
      </c>
      <c r="F12" s="143">
        <f t="shared" si="0"/>
        <v>1.8360000000000003</v>
      </c>
      <c r="G12" s="145">
        <f t="shared" si="1"/>
        <v>0.5446623093681916</v>
      </c>
    </row>
    <row r="13" spans="1:7" ht="12.75">
      <c r="A13" s="142" t="s">
        <v>791</v>
      </c>
      <c r="B13" s="143">
        <v>4.25</v>
      </c>
      <c r="C13" s="144">
        <v>1</v>
      </c>
      <c r="D13" s="143">
        <v>0.8</v>
      </c>
      <c r="E13" s="144">
        <v>6</v>
      </c>
      <c r="F13" s="143">
        <f t="shared" si="0"/>
        <v>2.0400000000000005</v>
      </c>
      <c r="G13" s="145">
        <f t="shared" si="1"/>
        <v>0.4901960784313724</v>
      </c>
    </row>
    <row r="14" spans="1:7" ht="12.75">
      <c r="A14" s="142" t="s">
        <v>792</v>
      </c>
      <c r="B14" s="143">
        <v>5.43</v>
      </c>
      <c r="C14" s="146">
        <v>0.95</v>
      </c>
      <c r="D14" s="143">
        <v>0.85</v>
      </c>
      <c r="E14" s="144">
        <v>6</v>
      </c>
      <c r="F14" s="143">
        <f t="shared" si="0"/>
        <v>2.630835</v>
      </c>
      <c r="G14" s="145">
        <f t="shared" si="1"/>
        <v>0.38010745637791804</v>
      </c>
    </row>
    <row r="15" spans="1:7" ht="12.75">
      <c r="A15" s="142" t="s">
        <v>793</v>
      </c>
      <c r="B15" s="143">
        <v>3.2</v>
      </c>
      <c r="C15" s="146">
        <v>0.95</v>
      </c>
      <c r="D15" s="143">
        <v>0.9</v>
      </c>
      <c r="E15" s="144">
        <v>6</v>
      </c>
      <c r="F15" s="143">
        <f t="shared" si="0"/>
        <v>1.6416000000000002</v>
      </c>
      <c r="G15" s="145">
        <f t="shared" si="1"/>
        <v>0.6091617933723196</v>
      </c>
    </row>
    <row r="16" spans="1:7" ht="12.75">
      <c r="A16" s="142" t="s">
        <v>794</v>
      </c>
      <c r="B16" s="143">
        <v>3.5</v>
      </c>
      <c r="C16" s="146">
        <v>0.9</v>
      </c>
      <c r="D16" s="143">
        <v>0.8</v>
      </c>
      <c r="E16" s="144">
        <v>6</v>
      </c>
      <c r="F16" s="143">
        <f t="shared" si="0"/>
        <v>1.5120000000000002</v>
      </c>
      <c r="G16" s="145">
        <f t="shared" si="1"/>
        <v>0.6613756613756613</v>
      </c>
    </row>
    <row r="17" spans="1:7" ht="12.75">
      <c r="A17" s="142" t="s">
        <v>795</v>
      </c>
      <c r="B17" s="143">
        <v>2.25</v>
      </c>
      <c r="C17" s="144">
        <v>1</v>
      </c>
      <c r="D17" s="143">
        <v>0.7</v>
      </c>
      <c r="E17" s="144">
        <v>6</v>
      </c>
      <c r="F17" s="143">
        <f t="shared" si="0"/>
        <v>0.945</v>
      </c>
      <c r="G17" s="145">
        <f t="shared" si="1"/>
        <v>1.0582010582010584</v>
      </c>
    </row>
    <row r="18" spans="1:7" ht="12.75">
      <c r="A18" s="142" t="s">
        <v>796</v>
      </c>
      <c r="B18" s="143">
        <v>3.5</v>
      </c>
      <c r="C18" s="144">
        <v>1</v>
      </c>
      <c r="D18" s="143">
        <v>0.85</v>
      </c>
      <c r="E18" s="144">
        <v>7</v>
      </c>
      <c r="F18" s="143">
        <f t="shared" si="0"/>
        <v>2.0825</v>
      </c>
      <c r="G18" s="145">
        <f t="shared" si="1"/>
        <v>0.4801920768307323</v>
      </c>
    </row>
    <row r="19" spans="1:7" ht="12.75">
      <c r="A19" s="142" t="s">
        <v>797</v>
      </c>
      <c r="B19" s="143">
        <v>4.2</v>
      </c>
      <c r="C19" s="146">
        <v>0.95</v>
      </c>
      <c r="D19" s="143">
        <v>0.85</v>
      </c>
      <c r="E19" s="144">
        <v>7</v>
      </c>
      <c r="F19" s="143">
        <f t="shared" si="0"/>
        <v>2.37405</v>
      </c>
      <c r="G19" s="145">
        <f t="shared" si="1"/>
        <v>0.42122112002695816</v>
      </c>
    </row>
    <row r="20" spans="1:7" ht="12.75">
      <c r="A20" s="142" t="s">
        <v>798</v>
      </c>
      <c r="B20" s="143">
        <v>2.25</v>
      </c>
      <c r="C20" s="146">
        <v>0.7</v>
      </c>
      <c r="D20" s="143">
        <v>0.7</v>
      </c>
      <c r="E20" s="144">
        <v>7</v>
      </c>
      <c r="F20" s="143">
        <f t="shared" si="0"/>
        <v>0.7717499999999999</v>
      </c>
      <c r="G20" s="145">
        <f t="shared" si="1"/>
        <v>1.2957563977972142</v>
      </c>
    </row>
    <row r="21" spans="1:7" ht="12.75">
      <c r="A21" s="142" t="s">
        <v>799</v>
      </c>
      <c r="B21" s="143">
        <v>2.75</v>
      </c>
      <c r="C21" s="146">
        <v>0.9</v>
      </c>
      <c r="D21" s="143">
        <v>0.8</v>
      </c>
      <c r="E21" s="144">
        <v>7</v>
      </c>
      <c r="F21" s="143">
        <f t="shared" si="0"/>
        <v>1.3860000000000001</v>
      </c>
      <c r="G21" s="145">
        <f t="shared" si="1"/>
        <v>0.7215007215007214</v>
      </c>
    </row>
    <row r="22" spans="1:7" ht="12.75">
      <c r="A22" s="142" t="s">
        <v>800</v>
      </c>
      <c r="B22" s="143">
        <v>3.25</v>
      </c>
      <c r="C22" s="146">
        <v>0.9</v>
      </c>
      <c r="D22" s="143">
        <v>0.75</v>
      </c>
      <c r="E22" s="144">
        <v>7</v>
      </c>
      <c r="F22" s="143">
        <f t="shared" si="0"/>
        <v>1.5356250000000002</v>
      </c>
      <c r="G22" s="145">
        <f t="shared" si="1"/>
        <v>0.6512006512006511</v>
      </c>
    </row>
    <row r="23" spans="1:7" ht="12.75">
      <c r="A23" s="142" t="s">
        <v>801</v>
      </c>
      <c r="B23" s="143">
        <v>3.7</v>
      </c>
      <c r="C23" s="147">
        <v>1</v>
      </c>
      <c r="D23" s="143">
        <v>0.95</v>
      </c>
      <c r="E23" s="144">
        <v>6</v>
      </c>
      <c r="F23" s="143">
        <f t="shared" si="0"/>
        <v>2.109</v>
      </c>
      <c r="G23" s="145">
        <f t="shared" si="1"/>
        <v>0.474158368895211</v>
      </c>
    </row>
    <row r="24" spans="1:7" ht="12.75">
      <c r="A24" s="142" t="s">
        <v>802</v>
      </c>
      <c r="B24" s="143">
        <v>3.5</v>
      </c>
      <c r="C24" s="144">
        <v>1</v>
      </c>
      <c r="D24" s="143">
        <v>0.9</v>
      </c>
      <c r="E24" s="144">
        <v>6</v>
      </c>
      <c r="F24" s="143">
        <f t="shared" si="0"/>
        <v>1.89</v>
      </c>
      <c r="G24" s="145">
        <f t="shared" si="1"/>
        <v>0.5291005291005292</v>
      </c>
    </row>
    <row r="25" spans="1:7" ht="12.75">
      <c r="A25" s="142" t="s">
        <v>803</v>
      </c>
      <c r="B25" s="143">
        <v>16.5</v>
      </c>
      <c r="C25" s="146">
        <v>0.9</v>
      </c>
      <c r="D25" s="143">
        <v>0.8</v>
      </c>
      <c r="E25" s="144">
        <v>7</v>
      </c>
      <c r="F25" s="143">
        <f t="shared" si="0"/>
        <v>8.316</v>
      </c>
      <c r="G25" s="145">
        <f t="shared" si="1"/>
        <v>0.12025012025012025</v>
      </c>
    </row>
    <row r="26" spans="1:7" ht="12.75">
      <c r="A26" s="142" t="s">
        <v>804</v>
      </c>
      <c r="B26" s="143">
        <v>14.7</v>
      </c>
      <c r="C26" s="146">
        <v>0.9</v>
      </c>
      <c r="D26" s="143">
        <v>0.8</v>
      </c>
      <c r="E26" s="144">
        <v>6</v>
      </c>
      <c r="F26" s="143">
        <f t="shared" si="0"/>
        <v>6.3504000000000005</v>
      </c>
      <c r="G26" s="145">
        <f t="shared" si="1"/>
        <v>0.15747039556563364</v>
      </c>
    </row>
    <row r="27" spans="1:7" ht="12.75">
      <c r="A27" s="142" t="s">
        <v>805</v>
      </c>
      <c r="B27" s="143">
        <v>5</v>
      </c>
      <c r="C27" s="146">
        <v>0.9</v>
      </c>
      <c r="D27" s="143">
        <v>0.9</v>
      </c>
      <c r="E27" s="144">
        <v>7</v>
      </c>
      <c r="F27" s="143">
        <f t="shared" si="0"/>
        <v>2.835</v>
      </c>
      <c r="G27" s="145">
        <f t="shared" si="1"/>
        <v>0.3527336860670194</v>
      </c>
    </row>
    <row r="28" spans="1:7" ht="12.75">
      <c r="A28" s="142" t="s">
        <v>806</v>
      </c>
      <c r="B28" s="143">
        <v>4.25</v>
      </c>
      <c r="C28" s="146">
        <v>0.9</v>
      </c>
      <c r="D28" s="143">
        <v>0.9</v>
      </c>
      <c r="E28" s="144">
        <v>7</v>
      </c>
      <c r="F28" s="143">
        <f t="shared" si="0"/>
        <v>2.4097500000000007</v>
      </c>
      <c r="G28" s="145">
        <f t="shared" si="1"/>
        <v>0.41498080713766977</v>
      </c>
    </row>
    <row r="29" spans="1:7" ht="12.75">
      <c r="A29" s="142" t="s">
        <v>807</v>
      </c>
      <c r="B29" s="143">
        <v>4.25</v>
      </c>
      <c r="C29" s="146">
        <v>0.9</v>
      </c>
      <c r="D29" s="143">
        <v>0.85</v>
      </c>
      <c r="E29" s="144">
        <v>7</v>
      </c>
      <c r="F29" s="143">
        <f t="shared" si="0"/>
        <v>2.2758750000000005</v>
      </c>
      <c r="G29" s="145">
        <f t="shared" si="1"/>
        <v>0.4393914428516504</v>
      </c>
    </row>
    <row r="30" spans="1:7" ht="12.75">
      <c r="A30" s="142" t="s">
        <v>808</v>
      </c>
      <c r="B30" s="143">
        <v>5.25</v>
      </c>
      <c r="C30" s="146">
        <v>0.9</v>
      </c>
      <c r="D30" s="143">
        <v>0.85</v>
      </c>
      <c r="E30" s="144">
        <v>7</v>
      </c>
      <c r="F30" s="143">
        <f t="shared" si="0"/>
        <v>2.8113750000000004</v>
      </c>
      <c r="G30" s="145">
        <f t="shared" si="1"/>
        <v>0.3556978346894313</v>
      </c>
    </row>
    <row r="31" spans="1:7" ht="12.75">
      <c r="A31" s="142" t="s">
        <v>809</v>
      </c>
      <c r="B31" s="143">
        <v>4.8</v>
      </c>
      <c r="C31" s="144">
        <v>1</v>
      </c>
      <c r="D31" s="143">
        <v>0.85</v>
      </c>
      <c r="E31" s="144">
        <v>7</v>
      </c>
      <c r="F31" s="143">
        <f t="shared" si="0"/>
        <v>2.8560000000000003</v>
      </c>
      <c r="G31" s="145">
        <f t="shared" si="1"/>
        <v>0.35014005602240894</v>
      </c>
    </row>
    <row r="32" spans="1:7" ht="12.75">
      <c r="A32" s="142" t="s">
        <v>810</v>
      </c>
      <c r="B32" s="143">
        <v>4.25</v>
      </c>
      <c r="C32" s="146">
        <v>0.85</v>
      </c>
      <c r="D32" s="143">
        <v>0.7</v>
      </c>
      <c r="E32" s="144">
        <v>7</v>
      </c>
      <c r="F32" s="143">
        <f t="shared" si="0"/>
        <v>1.770125</v>
      </c>
      <c r="G32" s="145">
        <f t="shared" si="1"/>
        <v>0.5649318550949792</v>
      </c>
    </row>
    <row r="33" spans="1:7" ht="12.75">
      <c r="A33" s="142" t="s">
        <v>811</v>
      </c>
      <c r="B33" s="143">
        <v>3.5</v>
      </c>
      <c r="C33" s="146">
        <v>0.85</v>
      </c>
      <c r="D33" s="143">
        <v>0.9</v>
      </c>
      <c r="E33" s="144">
        <v>6</v>
      </c>
      <c r="F33" s="143">
        <f t="shared" si="0"/>
        <v>1.6065000000000003</v>
      </c>
      <c r="G33" s="145">
        <f t="shared" si="1"/>
        <v>0.6224712107065047</v>
      </c>
    </row>
    <row r="34" spans="1:7" ht="12.75">
      <c r="A34" s="142" t="s">
        <v>812</v>
      </c>
      <c r="B34" s="143">
        <v>3.5</v>
      </c>
      <c r="C34" s="146">
        <v>0.9</v>
      </c>
      <c r="D34" s="143">
        <v>0.8</v>
      </c>
      <c r="E34" s="144">
        <v>7</v>
      </c>
      <c r="F34" s="143">
        <f t="shared" si="0"/>
        <v>1.7640000000000002</v>
      </c>
      <c r="G34" s="145">
        <f t="shared" si="1"/>
        <v>0.5668934240362811</v>
      </c>
    </row>
    <row r="35" spans="1:7" ht="12.75">
      <c r="A35" s="142" t="s">
        <v>813</v>
      </c>
      <c r="B35" s="143">
        <v>2.25</v>
      </c>
      <c r="C35" s="144">
        <v>1</v>
      </c>
      <c r="D35" s="143">
        <v>0.8</v>
      </c>
      <c r="E35" s="144">
        <v>6</v>
      </c>
      <c r="F35" s="143">
        <f t="shared" si="0"/>
        <v>1.08</v>
      </c>
      <c r="G35" s="145">
        <f t="shared" si="1"/>
        <v>0.9259259259259258</v>
      </c>
    </row>
    <row r="36" spans="1:7" ht="12.75">
      <c r="A36" s="142" t="s">
        <v>814</v>
      </c>
      <c r="B36" s="143">
        <v>4.6</v>
      </c>
      <c r="C36" s="144">
        <v>1</v>
      </c>
      <c r="D36" s="143">
        <v>0.7</v>
      </c>
      <c r="E36" s="144">
        <v>6</v>
      </c>
      <c r="F36" s="143">
        <f t="shared" si="0"/>
        <v>1.9320000000000002</v>
      </c>
      <c r="G36" s="145">
        <f t="shared" si="1"/>
        <v>0.5175983436853001</v>
      </c>
    </row>
    <row r="37" spans="1:7" ht="12.75">
      <c r="A37" s="142" t="s">
        <v>815</v>
      </c>
      <c r="B37" s="143">
        <v>4.9</v>
      </c>
      <c r="C37" s="144">
        <v>1</v>
      </c>
      <c r="D37" s="143">
        <v>0.7</v>
      </c>
      <c r="E37" s="144">
        <v>9</v>
      </c>
      <c r="F37" s="143">
        <f t="shared" si="0"/>
        <v>3.087</v>
      </c>
      <c r="G37" s="145">
        <f t="shared" si="1"/>
        <v>0.3239390994493035</v>
      </c>
    </row>
    <row r="38" spans="1:7" ht="13.5" thickBot="1">
      <c r="A38" s="148" t="s">
        <v>816</v>
      </c>
      <c r="B38" s="149">
        <v>5.5</v>
      </c>
      <c r="C38" s="150">
        <v>0.95</v>
      </c>
      <c r="D38" s="151">
        <v>0.85</v>
      </c>
      <c r="E38" s="152">
        <v>6</v>
      </c>
      <c r="F38" s="151">
        <f t="shared" si="0"/>
        <v>2.6647499999999997</v>
      </c>
      <c r="G38" s="153">
        <f t="shared" si="1"/>
        <v>0.3752697251149264</v>
      </c>
    </row>
    <row r="39" spans="1:7" ht="12.75">
      <c r="A39" s="154"/>
      <c r="B39" s="154"/>
      <c r="C39" s="154"/>
      <c r="D39" s="154"/>
      <c r="E39" s="154"/>
      <c r="F39" s="154"/>
      <c r="G39" s="154"/>
    </row>
    <row r="40" spans="1:7" ht="12.75">
      <c r="A40" s="155"/>
      <c r="B40" s="155"/>
      <c r="C40" s="155"/>
      <c r="D40" s="155"/>
      <c r="E40" s="155"/>
      <c r="F40" s="155"/>
      <c r="G40" s="155"/>
    </row>
    <row r="41" spans="1:7" ht="12.75">
      <c r="A41" s="155"/>
      <c r="B41" s="155"/>
      <c r="C41" s="155"/>
      <c r="D41" s="155"/>
      <c r="E41" s="155"/>
      <c r="F41" s="155"/>
      <c r="G41" s="155"/>
    </row>
    <row r="42" spans="1:7" ht="12.75">
      <c r="A42" s="155"/>
      <c r="B42" s="155"/>
      <c r="C42" s="155"/>
      <c r="D42" s="155"/>
      <c r="E42" s="155"/>
      <c r="F42" s="155"/>
      <c r="G42" s="155"/>
    </row>
    <row r="43" spans="1:7" ht="12.75">
      <c r="A43" s="155"/>
      <c r="B43" s="155"/>
      <c r="C43" s="155"/>
      <c r="D43" s="155"/>
      <c r="E43" s="155"/>
      <c r="F43" s="155"/>
      <c r="G43" s="155"/>
    </row>
    <row r="44" spans="1:7" ht="12.75">
      <c r="A44" s="155"/>
      <c r="B44" s="155"/>
      <c r="C44" s="155"/>
      <c r="D44" s="155"/>
      <c r="E44" s="155"/>
      <c r="F44" s="155"/>
      <c r="G44" s="155"/>
    </row>
    <row r="45" spans="1:7" ht="12.75">
      <c r="A45" s="155"/>
      <c r="B45" s="155"/>
      <c r="C45" s="155"/>
      <c r="D45" s="155"/>
      <c r="E45" s="155"/>
      <c r="F45" s="155"/>
      <c r="G45" s="155"/>
    </row>
    <row r="46" spans="1:7" ht="12.75">
      <c r="A46" s="155"/>
      <c r="B46" s="155"/>
      <c r="C46" s="155"/>
      <c r="D46" s="155"/>
      <c r="E46" s="155"/>
      <c r="F46" s="155"/>
      <c r="G46" s="155"/>
    </row>
    <row r="47" spans="1:7" ht="12.75">
      <c r="A47" s="155"/>
      <c r="B47" s="155"/>
      <c r="C47" s="155"/>
      <c r="D47" s="155"/>
      <c r="E47" s="155"/>
      <c r="F47" s="155"/>
      <c r="G47" s="155"/>
    </row>
    <row r="48" spans="1:7" ht="12.75">
      <c r="A48" s="155"/>
      <c r="B48" s="155"/>
      <c r="C48" s="155"/>
      <c r="D48" s="155"/>
      <c r="E48" s="155"/>
      <c r="F48" s="155"/>
      <c r="G48" s="155"/>
    </row>
  </sheetData>
  <sheetProtection/>
  <mergeCells count="9">
    <mergeCell ref="E5:E6"/>
    <mergeCell ref="F5:F6"/>
    <mergeCell ref="G5:G6"/>
    <mergeCell ref="A2:G2"/>
    <mergeCell ref="C4:D4"/>
    <mergeCell ref="A4:A6"/>
    <mergeCell ref="B4:B6"/>
    <mergeCell ref="C5:C6"/>
    <mergeCell ref="D5:D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2:J91"/>
  <sheetViews>
    <sheetView showGridLines="0" zoomScalePageLayoutView="0" workbookViewId="0" topLeftCell="A1">
      <selection activeCell="A13" sqref="A13"/>
    </sheetView>
  </sheetViews>
  <sheetFormatPr defaultColWidth="11.421875" defaultRowHeight="12.75"/>
  <cols>
    <col min="1" max="1" width="41.421875" style="0" customWidth="1"/>
    <col min="5" max="5" width="4.28125" style="0" customWidth="1"/>
    <col min="6" max="6" width="39.00390625" style="0" customWidth="1"/>
    <col min="12" max="12" width="16.8515625" style="0" customWidth="1"/>
  </cols>
  <sheetData>
    <row r="1" ht="13.5" thickBot="1"/>
    <row r="2" spans="1:4" ht="12.75">
      <c r="A2" s="587" t="s">
        <v>146</v>
      </c>
      <c r="B2" s="588"/>
      <c r="C2" s="588"/>
      <c r="D2" s="589"/>
    </row>
    <row r="3" spans="1:4" ht="12.75">
      <c r="A3" s="590" t="s">
        <v>147</v>
      </c>
      <c r="B3" s="591"/>
      <c r="C3" s="591"/>
      <c r="D3" s="592"/>
    </row>
    <row r="4" spans="1:4" ht="13.5" thickBot="1">
      <c r="A4" s="593" t="s">
        <v>148</v>
      </c>
      <c r="B4" s="594"/>
      <c r="C4" s="594"/>
      <c r="D4" s="595"/>
    </row>
    <row r="6" spans="1:9" ht="18">
      <c r="A6" s="1088" t="s">
        <v>861</v>
      </c>
      <c r="B6" s="1088"/>
      <c r="C6" s="1088"/>
      <c r="D6" s="1088"/>
      <c r="E6" s="1088"/>
      <c r="F6" s="1088"/>
      <c r="G6" s="1088"/>
      <c r="H6" s="1088"/>
      <c r="I6" s="1088"/>
    </row>
    <row r="7" spans="1:2" ht="12.75">
      <c r="A7" s="25" t="s">
        <v>833</v>
      </c>
      <c r="B7" s="156" t="s">
        <v>848</v>
      </c>
    </row>
    <row r="8" spans="1:2" ht="12.75">
      <c r="A8" s="157" t="s">
        <v>835</v>
      </c>
      <c r="B8" s="158">
        <v>510</v>
      </c>
    </row>
    <row r="9" spans="1:2" ht="12.75">
      <c r="A9" t="s">
        <v>836</v>
      </c>
      <c r="B9" s="158">
        <v>2000</v>
      </c>
    </row>
    <row r="11" spans="1:9" ht="12.75">
      <c r="A11" s="1130" t="s">
        <v>845</v>
      </c>
      <c r="B11" s="1130"/>
      <c r="C11" s="1130"/>
      <c r="D11" s="1130"/>
      <c r="F11" s="1130" t="s">
        <v>846</v>
      </c>
      <c r="G11" s="1130"/>
      <c r="H11" s="1130"/>
      <c r="I11" s="1130"/>
    </row>
    <row r="12" spans="1:10" ht="12.75">
      <c r="A12" s="159" t="s">
        <v>841</v>
      </c>
      <c r="B12" s="160" t="s">
        <v>817</v>
      </c>
      <c r="C12" s="160" t="s">
        <v>834</v>
      </c>
      <c r="D12" s="160" t="s">
        <v>561</v>
      </c>
      <c r="E12" s="161"/>
      <c r="F12" s="159" t="s">
        <v>841</v>
      </c>
      <c r="G12" s="160" t="s">
        <v>817</v>
      </c>
      <c r="H12" s="160" t="s">
        <v>834</v>
      </c>
      <c r="I12" s="576" t="s">
        <v>561</v>
      </c>
      <c r="J12" s="161"/>
    </row>
    <row r="13" spans="1:10" ht="12.75">
      <c r="A13" s="162" t="s">
        <v>818</v>
      </c>
      <c r="B13" s="163">
        <v>70</v>
      </c>
      <c r="C13" s="164">
        <f>520*2.5/1000</f>
        <v>1.3</v>
      </c>
      <c r="D13" s="577">
        <f>C13*B13</f>
        <v>91</v>
      </c>
      <c r="E13" s="161"/>
      <c r="F13" s="162" t="s">
        <v>818</v>
      </c>
      <c r="G13" s="163">
        <v>70</v>
      </c>
      <c r="H13" s="164">
        <f>520*2.3/1000</f>
        <v>1.196</v>
      </c>
      <c r="I13" s="577">
        <f>H13*G13</f>
        <v>83.72</v>
      </c>
      <c r="J13" s="161"/>
    </row>
    <row r="14" spans="1:10" ht="12.75">
      <c r="A14" s="162" t="s">
        <v>830</v>
      </c>
      <c r="B14" s="163">
        <v>5</v>
      </c>
      <c r="C14" s="164">
        <f>3.5*2.9</f>
        <v>10.15</v>
      </c>
      <c r="D14" s="577">
        <f>C14*B14</f>
        <v>50.75</v>
      </c>
      <c r="E14" s="161"/>
      <c r="F14" s="162" t="s">
        <v>830</v>
      </c>
      <c r="G14" s="163">
        <v>5</v>
      </c>
      <c r="H14" s="164">
        <f>3.15*2.9</f>
        <v>9.135</v>
      </c>
      <c r="I14" s="577">
        <f>H14*G14</f>
        <v>45.675</v>
      </c>
      <c r="J14" s="161"/>
    </row>
    <row r="15" spans="1:10" ht="12.75">
      <c r="A15" s="162" t="s">
        <v>820</v>
      </c>
      <c r="B15" s="163">
        <v>1.8</v>
      </c>
      <c r="C15" s="164">
        <v>28</v>
      </c>
      <c r="D15" s="577">
        <f>C15*B15</f>
        <v>50.4</v>
      </c>
      <c r="E15" s="161"/>
      <c r="F15" s="162" t="s">
        <v>820</v>
      </c>
      <c r="G15" s="163">
        <v>1.8</v>
      </c>
      <c r="H15" s="164">
        <v>25</v>
      </c>
      <c r="I15" s="577">
        <f>H15*G15</f>
        <v>45</v>
      </c>
      <c r="J15" s="161"/>
    </row>
    <row r="16" spans="1:10" ht="12.75">
      <c r="A16" s="162" t="s">
        <v>821</v>
      </c>
      <c r="B16" s="163">
        <v>0.06</v>
      </c>
      <c r="C16" s="164">
        <v>25</v>
      </c>
      <c r="D16" s="577">
        <f>C16*B16</f>
        <v>1.5</v>
      </c>
      <c r="E16" s="161"/>
      <c r="F16" s="162" t="s">
        <v>821</v>
      </c>
      <c r="G16" s="163">
        <v>0.06</v>
      </c>
      <c r="H16" s="164">
        <v>21</v>
      </c>
      <c r="I16" s="577">
        <f>H16*G16</f>
        <v>1.26</v>
      </c>
      <c r="J16" s="161"/>
    </row>
    <row r="17" spans="1:10" ht="12.75">
      <c r="A17" s="162" t="s">
        <v>822</v>
      </c>
      <c r="B17" s="163">
        <f>1.6/80</f>
        <v>0.02</v>
      </c>
      <c r="C17" s="164">
        <v>12.5</v>
      </c>
      <c r="D17" s="577">
        <f>C17*B17</f>
        <v>0.25</v>
      </c>
      <c r="E17" s="161"/>
      <c r="F17" s="162" t="s">
        <v>822</v>
      </c>
      <c r="G17" s="163">
        <f>1.6/80</f>
        <v>0.02</v>
      </c>
      <c r="H17" s="164">
        <v>9.5</v>
      </c>
      <c r="I17" s="577">
        <f>H17*G17</f>
        <v>0.19</v>
      </c>
      <c r="J17" s="161"/>
    </row>
    <row r="18" spans="1:10" ht="12.75">
      <c r="A18" s="166" t="s">
        <v>837</v>
      </c>
      <c r="B18" s="166"/>
      <c r="C18" s="167"/>
      <c r="D18" s="578">
        <f>SUM(D13:D17)</f>
        <v>193.9</v>
      </c>
      <c r="E18" s="161"/>
      <c r="F18" s="166" t="s">
        <v>838</v>
      </c>
      <c r="G18" s="166"/>
      <c r="H18" s="167"/>
      <c r="I18" s="578">
        <f>SUM(I13:I17)</f>
        <v>175.84499999999997</v>
      </c>
      <c r="J18" s="161"/>
    </row>
    <row r="19" spans="1:10" ht="12.75">
      <c r="A19" s="161"/>
      <c r="B19" s="161"/>
      <c r="C19" s="161"/>
      <c r="D19" s="161"/>
      <c r="E19" s="161"/>
      <c r="F19" s="161"/>
      <c r="G19" s="161"/>
      <c r="H19" s="161"/>
      <c r="I19" s="161"/>
      <c r="J19" s="161"/>
    </row>
    <row r="20" spans="1:10" ht="12.75">
      <c r="A20" s="169" t="s">
        <v>840</v>
      </c>
      <c r="B20" s="170"/>
      <c r="C20" s="171" t="s">
        <v>825</v>
      </c>
      <c r="D20" s="161" t="s">
        <v>561</v>
      </c>
      <c r="E20" s="161"/>
      <c r="F20" s="169" t="s">
        <v>839</v>
      </c>
      <c r="G20" s="170"/>
      <c r="H20" s="171" t="s">
        <v>825</v>
      </c>
      <c r="I20" s="161"/>
      <c r="J20" s="161"/>
    </row>
    <row r="21" spans="1:10" ht="12.75">
      <c r="A21" s="162" t="s">
        <v>826</v>
      </c>
      <c r="B21" s="585">
        <v>0.11</v>
      </c>
      <c r="C21" s="577">
        <f>$B$8*B21</f>
        <v>56.1</v>
      </c>
      <c r="D21" s="577">
        <f>C21*$B$8/1000</f>
        <v>28.611</v>
      </c>
      <c r="E21" s="161"/>
      <c r="F21" s="162" t="s">
        <v>826</v>
      </c>
      <c r="G21" s="585">
        <v>0.09</v>
      </c>
      <c r="H21" s="577">
        <f>$B$8*G21</f>
        <v>45.9</v>
      </c>
      <c r="I21" s="577">
        <f>H21*$B$8/1000</f>
        <v>23.409</v>
      </c>
      <c r="J21" s="161"/>
    </row>
    <row r="22" spans="1:10" ht="12.75">
      <c r="A22" s="162" t="s">
        <v>827</v>
      </c>
      <c r="B22" s="182">
        <v>1</v>
      </c>
      <c r="C22" s="577">
        <v>52</v>
      </c>
      <c r="D22" s="577">
        <f>C22*$B$8/1000</f>
        <v>26.52</v>
      </c>
      <c r="E22" s="161"/>
      <c r="F22" s="162" t="s">
        <v>827</v>
      </c>
      <c r="G22" s="182">
        <v>1</v>
      </c>
      <c r="H22" s="577">
        <v>48</v>
      </c>
      <c r="I22" s="577">
        <f>H22*$B$8/1000</f>
        <v>24.48</v>
      </c>
      <c r="J22" s="161"/>
    </row>
    <row r="23" spans="1:10" ht="12.75">
      <c r="A23" s="174" t="s">
        <v>828</v>
      </c>
      <c r="B23" s="585">
        <v>0.01</v>
      </c>
      <c r="C23" s="577">
        <f>$B$8*B23</f>
        <v>5.1000000000000005</v>
      </c>
      <c r="D23" s="577">
        <f>C23*$B$8/1000</f>
        <v>2.6010000000000004</v>
      </c>
      <c r="E23" s="161"/>
      <c r="F23" s="174" t="s">
        <v>828</v>
      </c>
      <c r="G23" s="585">
        <v>0.01</v>
      </c>
      <c r="H23" s="577">
        <f>$B$8*G23</f>
        <v>5.1000000000000005</v>
      </c>
      <c r="I23" s="577">
        <f>H23*$B$8/1000</f>
        <v>2.6010000000000004</v>
      </c>
      <c r="J23" s="161"/>
    </row>
    <row r="24" spans="1:10" ht="12.75">
      <c r="A24" s="174" t="s">
        <v>862</v>
      </c>
      <c r="B24" s="585">
        <v>0.00121</v>
      </c>
      <c r="C24" s="577">
        <f>$B$8*B24</f>
        <v>0.6171</v>
      </c>
      <c r="D24" s="577">
        <f>C24*$B$8/1000</f>
        <v>0.31472100000000003</v>
      </c>
      <c r="E24" s="161"/>
      <c r="F24" s="174" t="s">
        <v>862</v>
      </c>
      <c r="G24" s="585">
        <v>0.00121</v>
      </c>
      <c r="H24" s="577">
        <f>$B$8*G24</f>
        <v>0.6171</v>
      </c>
      <c r="I24" s="577">
        <f>H24*$B$8/1000</f>
        <v>0.31472100000000003</v>
      </c>
      <c r="J24" s="161"/>
    </row>
    <row r="25" spans="1:10" ht="12.75">
      <c r="A25" s="166" t="s">
        <v>829</v>
      </c>
      <c r="B25" s="176"/>
      <c r="C25" s="578">
        <f>SUM(C21:C24)</f>
        <v>113.81709999999998</v>
      </c>
      <c r="D25" s="578">
        <f>SUM(D21:D24)</f>
        <v>58.046721</v>
      </c>
      <c r="E25" s="161"/>
      <c r="F25" s="166" t="s">
        <v>829</v>
      </c>
      <c r="G25" s="176"/>
      <c r="H25" s="578">
        <f>SUM(H21:H24)</f>
        <v>99.6171</v>
      </c>
      <c r="I25" s="578">
        <f>SUM(I21:I24)</f>
        <v>50.804720999999994</v>
      </c>
      <c r="J25" s="161"/>
    </row>
    <row r="26" ht="13.5" thickBot="1"/>
    <row r="27" spans="1:9" ht="13.5" thickBot="1">
      <c r="A27" s="177" t="s">
        <v>842</v>
      </c>
      <c r="B27" s="178"/>
      <c r="C27" s="178"/>
      <c r="D27" s="581">
        <f>D18+D25</f>
        <v>251.946721</v>
      </c>
      <c r="F27" s="177" t="s">
        <v>842</v>
      </c>
      <c r="G27" s="178"/>
      <c r="H27" s="178"/>
      <c r="I27" s="581">
        <f>I18+I25</f>
        <v>226.64972099999997</v>
      </c>
    </row>
    <row r="29" spans="1:4" ht="12.75">
      <c r="A29" s="25" t="s">
        <v>843</v>
      </c>
      <c r="B29" s="25"/>
      <c r="C29" s="25"/>
      <c r="D29" s="582">
        <f>D27-I27</f>
        <v>25.297000000000025</v>
      </c>
    </row>
    <row r="30" spans="1:4" ht="12.75">
      <c r="A30" s="25" t="s">
        <v>844</v>
      </c>
      <c r="B30" s="25"/>
      <c r="C30" s="25"/>
      <c r="D30" s="583">
        <f>D29/D27</f>
        <v>0.10040614896512198</v>
      </c>
    </row>
    <row r="33" spans="1:9" ht="18">
      <c r="A33" s="1088" t="s">
        <v>861</v>
      </c>
      <c r="B33" s="1088"/>
      <c r="C33" s="1088"/>
      <c r="D33" s="1088"/>
      <c r="E33" s="1088"/>
      <c r="F33" s="1088"/>
      <c r="G33" s="1088"/>
      <c r="H33" s="1088"/>
      <c r="I33" s="1088"/>
    </row>
    <row r="34" spans="1:2" ht="12.75">
      <c r="A34" s="25" t="s">
        <v>833</v>
      </c>
      <c r="B34" s="179" t="s">
        <v>847</v>
      </c>
    </row>
    <row r="35" spans="1:2" ht="12.75">
      <c r="A35" t="s">
        <v>835</v>
      </c>
      <c r="B35" s="158">
        <v>118</v>
      </c>
    </row>
    <row r="36" spans="1:2" ht="12.75">
      <c r="A36" t="s">
        <v>836</v>
      </c>
      <c r="B36" s="158">
        <v>4000</v>
      </c>
    </row>
    <row r="38" spans="1:9" ht="12.75">
      <c r="A38" s="1130" t="s">
        <v>845</v>
      </c>
      <c r="B38" s="1130"/>
      <c r="C38" s="1130"/>
      <c r="D38" s="1130"/>
      <c r="F38" s="1130" t="s">
        <v>846</v>
      </c>
      <c r="G38" s="1130"/>
      <c r="H38" s="1130"/>
      <c r="I38" s="1130"/>
    </row>
    <row r="39" spans="1:9" ht="12.75">
      <c r="A39" s="159" t="s">
        <v>841</v>
      </c>
      <c r="B39" s="160" t="s">
        <v>817</v>
      </c>
      <c r="C39" s="160" t="s">
        <v>834</v>
      </c>
      <c r="D39" s="160" t="s">
        <v>561</v>
      </c>
      <c r="F39" s="159" t="s">
        <v>841</v>
      </c>
      <c r="G39" s="160" t="s">
        <v>817</v>
      </c>
      <c r="H39" s="160" t="s">
        <v>834</v>
      </c>
      <c r="I39" s="160" t="s">
        <v>561</v>
      </c>
    </row>
    <row r="40" spans="1:9" ht="12.75">
      <c r="A40" s="162" t="s">
        <v>832</v>
      </c>
      <c r="B40" s="163">
        <v>7</v>
      </c>
      <c r="C40" s="164">
        <f>118*3/1000</f>
        <v>0.354</v>
      </c>
      <c r="D40" s="577">
        <f>C40*B40</f>
        <v>2.4779999999999998</v>
      </c>
      <c r="F40" s="162" t="s">
        <v>832</v>
      </c>
      <c r="G40" s="163">
        <v>7</v>
      </c>
      <c r="H40" s="164">
        <f>118*2.3/1000</f>
        <v>0.2714</v>
      </c>
      <c r="I40" s="577">
        <f>H40*G40</f>
        <v>1.8998</v>
      </c>
    </row>
    <row r="41" spans="1:9" ht="12.75">
      <c r="A41" s="162" t="s">
        <v>819</v>
      </c>
      <c r="B41" s="163">
        <v>2</v>
      </c>
      <c r="C41" s="164">
        <f>1*C14</f>
        <v>10.15</v>
      </c>
      <c r="D41" s="577">
        <f>C41*B41</f>
        <v>20.3</v>
      </c>
      <c r="F41" s="162" t="s">
        <v>819</v>
      </c>
      <c r="G41" s="163">
        <v>2</v>
      </c>
      <c r="H41" s="164">
        <f>1*H14</f>
        <v>9.135</v>
      </c>
      <c r="I41" s="577">
        <f>H41*G41</f>
        <v>18.27</v>
      </c>
    </row>
    <row r="42" spans="1:9" ht="12.75">
      <c r="A42" s="162" t="s">
        <v>821</v>
      </c>
      <c r="B42" s="163">
        <v>0.06</v>
      </c>
      <c r="C42" s="164">
        <v>25</v>
      </c>
      <c r="D42" s="577">
        <f>C42*B42</f>
        <v>1.5</v>
      </c>
      <c r="F42" s="162" t="s">
        <v>821</v>
      </c>
      <c r="G42" s="163">
        <v>0.06</v>
      </c>
      <c r="H42" s="164">
        <v>21</v>
      </c>
      <c r="I42" s="577">
        <f>H42*G42</f>
        <v>1.26</v>
      </c>
    </row>
    <row r="43" spans="1:9" ht="12.75">
      <c r="A43" s="162" t="s">
        <v>831</v>
      </c>
      <c r="B43" s="163">
        <v>4</v>
      </c>
      <c r="C43" s="164">
        <v>23</v>
      </c>
      <c r="D43" s="577">
        <f>C43*B43</f>
        <v>92</v>
      </c>
      <c r="F43" s="162" t="s">
        <v>831</v>
      </c>
      <c r="G43" s="163">
        <v>4</v>
      </c>
      <c r="H43" s="164">
        <v>20</v>
      </c>
      <c r="I43" s="577">
        <f>H43*G43</f>
        <v>80</v>
      </c>
    </row>
    <row r="44" spans="1:9" ht="12.75">
      <c r="A44" s="166" t="s">
        <v>837</v>
      </c>
      <c r="B44" s="166"/>
      <c r="C44" s="167">
        <f>SUM(C40:C43)</f>
        <v>58.504</v>
      </c>
      <c r="D44" s="577">
        <f>SUM(D40:D43)</f>
        <v>116.27799999999999</v>
      </c>
      <c r="F44" s="166" t="s">
        <v>823</v>
      </c>
      <c r="G44" s="166"/>
      <c r="H44" s="167">
        <f>SUM(H40:H43)</f>
        <v>50.4064</v>
      </c>
      <c r="I44" s="577">
        <f>SUM(I40:I43)</f>
        <v>101.4298</v>
      </c>
    </row>
    <row r="45" spans="1:8" ht="12.75">
      <c r="A45" s="180"/>
      <c r="B45" s="180"/>
      <c r="C45" s="171"/>
      <c r="F45" s="180"/>
      <c r="G45" s="180"/>
      <c r="H45" s="171"/>
    </row>
    <row r="46" spans="1:8" ht="12.75">
      <c r="A46" s="170"/>
      <c r="B46" s="170"/>
      <c r="C46" s="180"/>
      <c r="F46" s="170"/>
      <c r="G46" s="170"/>
      <c r="H46" s="180"/>
    </row>
    <row r="47" spans="1:9" ht="12.75">
      <c r="A47" s="166" t="s">
        <v>840</v>
      </c>
      <c r="B47" s="170"/>
      <c r="C47" s="171" t="s">
        <v>825</v>
      </c>
      <c r="D47" s="161" t="s">
        <v>561</v>
      </c>
      <c r="F47" s="166" t="s">
        <v>824</v>
      </c>
      <c r="G47" s="170"/>
      <c r="H47" s="171" t="s">
        <v>825</v>
      </c>
      <c r="I47" s="161" t="s">
        <v>561</v>
      </c>
    </row>
    <row r="48" spans="1:9" ht="12.75">
      <c r="A48" s="162" t="s">
        <v>826</v>
      </c>
      <c r="B48" s="172">
        <v>0.11</v>
      </c>
      <c r="C48" s="584">
        <f>$B$35*B48</f>
        <v>12.98</v>
      </c>
      <c r="D48" s="579">
        <f>C48*$B$35/1000</f>
        <v>1.5316400000000001</v>
      </c>
      <c r="F48" s="162" t="s">
        <v>826</v>
      </c>
      <c r="G48" s="172">
        <v>0.09</v>
      </c>
      <c r="H48" s="584">
        <f>$B$35*G48</f>
        <v>10.62</v>
      </c>
      <c r="I48" s="579">
        <f>H48*$B$35/1000</f>
        <v>1.2531599999999998</v>
      </c>
    </row>
    <row r="49" spans="1:9" ht="12.75">
      <c r="A49" s="162" t="s">
        <v>827</v>
      </c>
      <c r="B49" s="172">
        <v>1</v>
      </c>
      <c r="C49" s="584">
        <v>52</v>
      </c>
      <c r="D49" s="579">
        <f>C49*$B$35/1000</f>
        <v>6.136</v>
      </c>
      <c r="F49" s="162" t="s">
        <v>827</v>
      </c>
      <c r="G49" s="172">
        <v>1</v>
      </c>
      <c r="H49" s="584">
        <v>48</v>
      </c>
      <c r="I49" s="579">
        <f>H49*$B$35/1000</f>
        <v>5.664</v>
      </c>
    </row>
    <row r="50" spans="1:9" ht="12.75">
      <c r="A50" s="174" t="s">
        <v>828</v>
      </c>
      <c r="B50" s="175">
        <v>0.01</v>
      </c>
      <c r="C50" s="584">
        <f>$B$35*B50</f>
        <v>1.18</v>
      </c>
      <c r="D50" s="579">
        <f>C50*$B$35/1000</f>
        <v>0.13923999999999997</v>
      </c>
      <c r="F50" s="174" t="s">
        <v>828</v>
      </c>
      <c r="G50" s="175">
        <v>0.01</v>
      </c>
      <c r="H50" s="584">
        <f>$B$35*G50</f>
        <v>1.18</v>
      </c>
      <c r="I50" s="579">
        <f>H50*$B$35/1000</f>
        <v>0.13923999999999997</v>
      </c>
    </row>
    <row r="51" spans="1:9" ht="12.75">
      <c r="A51" s="174" t="s">
        <v>862</v>
      </c>
      <c r="B51" s="175">
        <v>0.00121</v>
      </c>
      <c r="C51" s="584">
        <f>$B$35*B51</f>
        <v>0.14278</v>
      </c>
      <c r="D51" s="579">
        <f>C51*$B$35/1000</f>
        <v>0.016848039999999998</v>
      </c>
      <c r="F51" s="174" t="s">
        <v>862</v>
      </c>
      <c r="G51" s="175">
        <v>0.00121</v>
      </c>
      <c r="H51" s="584">
        <f>$B$35*G51</f>
        <v>0.14278</v>
      </c>
      <c r="I51" s="579">
        <f>H51*$B$35/1000</f>
        <v>0.016848039999999998</v>
      </c>
    </row>
    <row r="52" spans="1:9" ht="12.75">
      <c r="A52" s="166" t="s">
        <v>829</v>
      </c>
      <c r="B52" s="176"/>
      <c r="C52" s="578">
        <f>SUM(C48:C51)</f>
        <v>66.30278000000001</v>
      </c>
      <c r="D52" s="579">
        <f>SUM(D48:D51)</f>
        <v>7.823728040000001</v>
      </c>
      <c r="F52" s="166" t="s">
        <v>829</v>
      </c>
      <c r="G52" s="176"/>
      <c r="H52" s="578">
        <f>SUM(H48:H51)</f>
        <v>59.94278</v>
      </c>
      <c r="I52" s="579">
        <f>SUM(I48:I51)</f>
        <v>7.073248039999999</v>
      </c>
    </row>
    <row r="53" ht="13.5" thickBot="1"/>
    <row r="54" spans="1:9" ht="13.5" thickBot="1">
      <c r="A54" s="177" t="s">
        <v>842</v>
      </c>
      <c r="B54" s="178"/>
      <c r="C54" s="178"/>
      <c r="D54" s="581">
        <f>D44+D52</f>
        <v>124.10172804</v>
      </c>
      <c r="F54" s="177" t="s">
        <v>842</v>
      </c>
      <c r="G54" s="178"/>
      <c r="H54" s="178"/>
      <c r="I54" s="581">
        <f>I44+I52</f>
        <v>108.50304804</v>
      </c>
    </row>
    <row r="56" spans="1:4" ht="12.75">
      <c r="A56" s="25" t="s">
        <v>843</v>
      </c>
      <c r="B56" s="25"/>
      <c r="C56" s="25"/>
      <c r="D56" s="582">
        <f>D54-I54</f>
        <v>15.598680000000002</v>
      </c>
    </row>
    <row r="57" spans="1:4" ht="12.75">
      <c r="A57" s="25" t="s">
        <v>844</v>
      </c>
      <c r="B57" s="25"/>
      <c r="C57" s="25"/>
      <c r="D57" s="583">
        <f>D56/D54</f>
        <v>0.12569268975023695</v>
      </c>
    </row>
    <row r="62" spans="1:9" ht="18">
      <c r="A62" s="1088" t="s">
        <v>861</v>
      </c>
      <c r="B62" s="1088"/>
      <c r="C62" s="1088"/>
      <c r="D62" s="1088"/>
      <c r="E62" s="1088"/>
      <c r="F62" s="1088"/>
      <c r="G62" s="1088"/>
      <c r="H62" s="1088"/>
      <c r="I62" s="1088"/>
    </row>
    <row r="63" spans="1:2" ht="12.75">
      <c r="A63" s="25" t="s">
        <v>833</v>
      </c>
      <c r="B63" s="179" t="s">
        <v>860</v>
      </c>
    </row>
    <row r="64" spans="1:2" ht="12.75">
      <c r="A64" t="s">
        <v>835</v>
      </c>
      <c r="B64" s="158">
        <v>960</v>
      </c>
    </row>
    <row r="65" spans="1:2" ht="12.75">
      <c r="A65" t="s">
        <v>836</v>
      </c>
      <c r="B65" s="158">
        <v>1500</v>
      </c>
    </row>
    <row r="67" spans="1:9" ht="12.75">
      <c r="A67" s="1130" t="s">
        <v>845</v>
      </c>
      <c r="B67" s="1130"/>
      <c r="C67" s="1130"/>
      <c r="D67" s="1130"/>
      <c r="F67" s="1130" t="s">
        <v>846</v>
      </c>
      <c r="G67" s="1130"/>
      <c r="H67" s="1130"/>
      <c r="I67" s="1130"/>
    </row>
    <row r="68" spans="1:9" ht="12.75">
      <c r="A68" s="159" t="s">
        <v>841</v>
      </c>
      <c r="B68" s="160" t="s">
        <v>817</v>
      </c>
      <c r="C68" s="160" t="s">
        <v>834</v>
      </c>
      <c r="D68" s="160" t="s">
        <v>561</v>
      </c>
      <c r="F68" s="159" t="s">
        <v>841</v>
      </c>
      <c r="G68" s="160" t="s">
        <v>817</v>
      </c>
      <c r="H68" s="160" t="s">
        <v>834</v>
      </c>
      <c r="I68" s="160" t="s">
        <v>561</v>
      </c>
    </row>
    <row r="69" spans="1:9" ht="12.75">
      <c r="A69" s="162" t="s">
        <v>850</v>
      </c>
      <c r="B69" s="181">
        <v>35</v>
      </c>
      <c r="C69" s="164">
        <f>960*3/1000</f>
        <v>2.88</v>
      </c>
      <c r="D69" s="577">
        <f aca="true" t="shared" si="0" ref="D69:D76">C69*B69</f>
        <v>100.8</v>
      </c>
      <c r="F69" s="162" t="s">
        <v>850</v>
      </c>
      <c r="G69" s="181">
        <v>35</v>
      </c>
      <c r="H69" s="164">
        <f>960*2.3/1000</f>
        <v>2.208</v>
      </c>
      <c r="I69" s="577">
        <f aca="true" t="shared" si="1" ref="I69:I76">H69*G69</f>
        <v>77.28</v>
      </c>
    </row>
    <row r="70" spans="1:9" ht="12.75">
      <c r="A70" s="162" t="s">
        <v>849</v>
      </c>
      <c r="B70" s="181">
        <v>5</v>
      </c>
      <c r="C70" s="164">
        <v>15</v>
      </c>
      <c r="D70" s="577">
        <f t="shared" si="0"/>
        <v>75</v>
      </c>
      <c r="F70" s="162" t="s">
        <v>849</v>
      </c>
      <c r="G70" s="181">
        <v>5</v>
      </c>
      <c r="H70" s="164">
        <v>1.45</v>
      </c>
      <c r="I70" s="577">
        <f t="shared" si="1"/>
        <v>7.25</v>
      </c>
    </row>
    <row r="71" spans="1:9" ht="12.75">
      <c r="A71" s="162" t="s">
        <v>851</v>
      </c>
      <c r="B71" s="181">
        <v>45</v>
      </c>
      <c r="C71" s="164">
        <f>1200/1000</f>
        <v>1.2</v>
      </c>
      <c r="D71" s="577">
        <f t="shared" si="0"/>
        <v>54</v>
      </c>
      <c r="F71" s="162" t="s">
        <v>851</v>
      </c>
      <c r="G71" s="181">
        <v>45</v>
      </c>
      <c r="H71" s="164">
        <f>1</f>
        <v>1</v>
      </c>
      <c r="I71" s="577">
        <f t="shared" si="1"/>
        <v>45</v>
      </c>
    </row>
    <row r="72" spans="1:9" ht="12.75">
      <c r="A72" s="162" t="s">
        <v>852</v>
      </c>
      <c r="B72" s="181">
        <v>38</v>
      </c>
      <c r="C72" s="164">
        <f>1500/1000</f>
        <v>1.5</v>
      </c>
      <c r="D72" s="577">
        <f t="shared" si="0"/>
        <v>57</v>
      </c>
      <c r="F72" s="162" t="s">
        <v>852</v>
      </c>
      <c r="G72" s="181">
        <v>38</v>
      </c>
      <c r="H72" s="164">
        <v>1.3</v>
      </c>
      <c r="I72" s="577">
        <f t="shared" si="1"/>
        <v>49.4</v>
      </c>
    </row>
    <row r="73" spans="1:9" ht="12.75">
      <c r="A73" s="162" t="s">
        <v>853</v>
      </c>
      <c r="B73" s="181">
        <v>8</v>
      </c>
      <c r="C73" s="164">
        <v>18</v>
      </c>
      <c r="D73" s="577">
        <f t="shared" si="0"/>
        <v>144</v>
      </c>
      <c r="F73" s="162" t="s">
        <v>853</v>
      </c>
      <c r="G73" s="181">
        <v>8</v>
      </c>
      <c r="H73" s="164">
        <v>18</v>
      </c>
      <c r="I73" s="577">
        <f t="shared" si="1"/>
        <v>144</v>
      </c>
    </row>
    <row r="74" spans="1:9" ht="12.75">
      <c r="A74" s="162" t="s">
        <v>854</v>
      </c>
      <c r="B74" s="181">
        <v>0.8</v>
      </c>
      <c r="C74" s="164">
        <v>12</v>
      </c>
      <c r="D74" s="577">
        <f t="shared" si="0"/>
        <v>9.600000000000001</v>
      </c>
      <c r="F74" s="162" t="s">
        <v>854</v>
      </c>
      <c r="G74" s="181">
        <v>0.8</v>
      </c>
      <c r="H74" s="164">
        <v>12</v>
      </c>
      <c r="I74" s="577">
        <f t="shared" si="1"/>
        <v>9.600000000000001</v>
      </c>
    </row>
    <row r="75" spans="1:9" ht="12.75">
      <c r="A75" s="162" t="s">
        <v>855</v>
      </c>
      <c r="B75" s="181">
        <v>0.6</v>
      </c>
      <c r="C75" s="164">
        <v>28</v>
      </c>
      <c r="D75" s="577">
        <f t="shared" si="0"/>
        <v>16.8</v>
      </c>
      <c r="F75" s="162" t="s">
        <v>855</v>
      </c>
      <c r="G75" s="181">
        <v>0.6</v>
      </c>
      <c r="H75" s="164">
        <v>25</v>
      </c>
      <c r="I75" s="577">
        <f t="shared" si="1"/>
        <v>15</v>
      </c>
    </row>
    <row r="76" spans="1:9" ht="12.75">
      <c r="A76" s="162" t="s">
        <v>856</v>
      </c>
      <c r="B76" s="181">
        <v>0.5</v>
      </c>
      <c r="C76" s="164">
        <v>5</v>
      </c>
      <c r="D76" s="577">
        <f t="shared" si="0"/>
        <v>2.5</v>
      </c>
      <c r="F76" s="162" t="s">
        <v>856</v>
      </c>
      <c r="G76" s="181">
        <v>0.5</v>
      </c>
      <c r="H76" s="164">
        <v>5</v>
      </c>
      <c r="I76" s="577">
        <f t="shared" si="1"/>
        <v>2.5</v>
      </c>
    </row>
    <row r="77" spans="1:9" ht="12.75">
      <c r="A77" s="166" t="s">
        <v>837</v>
      </c>
      <c r="B77" s="166"/>
      <c r="C77" s="167">
        <f>SUM(C69:C74)</f>
        <v>50.58</v>
      </c>
      <c r="D77" s="577">
        <f>SUM(D69:D76)</f>
        <v>459.70000000000005</v>
      </c>
      <c r="F77" s="166" t="s">
        <v>823</v>
      </c>
      <c r="G77" s="166"/>
      <c r="H77" s="167">
        <f>SUM(H69:H74)</f>
        <v>35.958</v>
      </c>
      <c r="I77" s="577">
        <f>SUM(I69:I74)</f>
        <v>332.53000000000003</v>
      </c>
    </row>
    <row r="78" spans="1:8" ht="12.75">
      <c r="A78" s="180"/>
      <c r="B78" s="180"/>
      <c r="C78" s="171"/>
      <c r="F78" s="180"/>
      <c r="G78" s="180"/>
      <c r="H78" s="171"/>
    </row>
    <row r="79" spans="1:8" ht="12.75">
      <c r="A79" s="170"/>
      <c r="B79" s="170"/>
      <c r="C79" s="180"/>
      <c r="F79" s="170"/>
      <c r="G79" s="170"/>
      <c r="H79" s="180"/>
    </row>
    <row r="80" spans="1:9" ht="12.75">
      <c r="A80" s="166" t="s">
        <v>840</v>
      </c>
      <c r="B80" s="170"/>
      <c r="C80" s="171" t="s">
        <v>825</v>
      </c>
      <c r="D80" s="161" t="s">
        <v>561</v>
      </c>
      <c r="F80" s="166" t="s">
        <v>824</v>
      </c>
      <c r="G80" s="170"/>
      <c r="H80" s="171" t="s">
        <v>825</v>
      </c>
      <c r="I80" s="161" t="s">
        <v>561</v>
      </c>
    </row>
    <row r="81" spans="1:9" ht="12.75">
      <c r="A81" s="162" t="s">
        <v>857</v>
      </c>
      <c r="B81" s="182">
        <v>1</v>
      </c>
      <c r="C81" s="165">
        <v>350</v>
      </c>
      <c r="D81" s="577">
        <f>(C81*B65)/1000</f>
        <v>525</v>
      </c>
      <c r="F81" s="162" t="s">
        <v>857</v>
      </c>
      <c r="G81" s="172">
        <v>1</v>
      </c>
      <c r="H81" s="165">
        <v>320</v>
      </c>
      <c r="I81" s="579">
        <f>H81*$B$64/1000</f>
        <v>307.2</v>
      </c>
    </row>
    <row r="82" spans="1:9" ht="12.75">
      <c r="A82" s="162" t="s">
        <v>827</v>
      </c>
      <c r="B82" s="183">
        <v>1</v>
      </c>
      <c r="C82" s="184">
        <v>35</v>
      </c>
      <c r="D82" s="586">
        <f>(C82*B65/1000)</f>
        <v>52.5</v>
      </c>
      <c r="F82" s="162" t="s">
        <v>827</v>
      </c>
      <c r="G82" s="172">
        <v>1</v>
      </c>
      <c r="H82" s="173">
        <v>32</v>
      </c>
      <c r="I82" s="579">
        <f>H82*$B$64/1000</f>
        <v>30.72</v>
      </c>
    </row>
    <row r="83" spans="1:9" ht="12.75">
      <c r="A83" s="174" t="s">
        <v>858</v>
      </c>
      <c r="B83" s="175"/>
      <c r="C83" s="173"/>
      <c r="D83" s="579"/>
      <c r="F83" s="174" t="s">
        <v>858</v>
      </c>
      <c r="G83" s="175"/>
      <c r="H83" s="173"/>
      <c r="I83" s="579"/>
    </row>
    <row r="84" spans="1:9" ht="12.75">
      <c r="A84" s="174" t="s">
        <v>862</v>
      </c>
      <c r="B84" s="175">
        <v>0.00121</v>
      </c>
      <c r="C84" s="165">
        <f>$B$64*B84</f>
        <v>1.1616</v>
      </c>
      <c r="D84" s="586">
        <f>C84*$B$64/1000</f>
        <v>1.115136</v>
      </c>
      <c r="F84" s="174" t="s">
        <v>862</v>
      </c>
      <c r="G84" s="175">
        <v>0.00121</v>
      </c>
      <c r="H84" s="173">
        <f>$B$64*G84</f>
        <v>1.1616</v>
      </c>
      <c r="I84" s="579">
        <f>H84*$B$64/1000</f>
        <v>1.115136</v>
      </c>
    </row>
    <row r="85" spans="1:9" ht="12.75">
      <c r="A85" s="174" t="s">
        <v>859</v>
      </c>
      <c r="B85" s="175">
        <v>0.015</v>
      </c>
      <c r="C85" s="165">
        <f>$B$64*B85</f>
        <v>14.399999999999999</v>
      </c>
      <c r="D85" s="586">
        <f>C85*$B$64/1000</f>
        <v>13.823999999999998</v>
      </c>
      <c r="F85" s="174" t="s">
        <v>859</v>
      </c>
      <c r="G85" s="175">
        <v>0.015</v>
      </c>
      <c r="H85" s="173">
        <f>$B$64*G85</f>
        <v>14.399999999999999</v>
      </c>
      <c r="I85" s="579">
        <f>H85*$B$64/1000</f>
        <v>13.823999999999998</v>
      </c>
    </row>
    <row r="86" spans="1:9" ht="12.75">
      <c r="A86" s="166" t="s">
        <v>829</v>
      </c>
      <c r="B86" s="176"/>
      <c r="C86" s="168">
        <f>SUM(C81:C85)</f>
        <v>400.5616</v>
      </c>
      <c r="D86" s="578">
        <f>(D81+D82+D84+D85)</f>
        <v>592.439136</v>
      </c>
      <c r="F86" s="166" t="s">
        <v>829</v>
      </c>
      <c r="G86" s="176"/>
      <c r="H86" s="168">
        <f>SUM(H81:H85)</f>
        <v>367.5616</v>
      </c>
      <c r="I86" s="580">
        <f>SUM(I81:I85)</f>
        <v>352.859136</v>
      </c>
    </row>
    <row r="87" ht="13.5" thickBot="1"/>
    <row r="88" spans="1:9" ht="13.5" thickBot="1">
      <c r="A88" s="177" t="s">
        <v>842</v>
      </c>
      <c r="B88" s="178"/>
      <c r="C88" s="178"/>
      <c r="D88" s="581">
        <f>D77+D86</f>
        <v>1052.139136</v>
      </c>
      <c r="F88" s="177" t="s">
        <v>842</v>
      </c>
      <c r="G88" s="178"/>
      <c r="H88" s="178"/>
      <c r="I88" s="581">
        <f>I77+I86</f>
        <v>685.389136</v>
      </c>
    </row>
    <row r="90" spans="1:4" ht="12.75">
      <c r="A90" s="25" t="s">
        <v>843</v>
      </c>
      <c r="B90" s="25"/>
      <c r="C90" s="25"/>
      <c r="D90" s="582">
        <f>D88-I88</f>
        <v>366.75</v>
      </c>
    </row>
    <row r="91" spans="1:4" ht="12.75">
      <c r="A91" s="25" t="s">
        <v>844</v>
      </c>
      <c r="B91" s="25"/>
      <c r="C91" s="25"/>
      <c r="D91" s="583">
        <f>D90/D88</f>
        <v>0.34857557090244</v>
      </c>
    </row>
  </sheetData>
  <sheetProtection/>
  <mergeCells count="9">
    <mergeCell ref="A38:D38"/>
    <mergeCell ref="F38:I38"/>
    <mergeCell ref="A62:I62"/>
    <mergeCell ref="A67:D67"/>
    <mergeCell ref="F67:I67"/>
    <mergeCell ref="A6:I6"/>
    <mergeCell ref="A11:D11"/>
    <mergeCell ref="F11:I11"/>
    <mergeCell ref="A33:I33"/>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2:K221"/>
  <sheetViews>
    <sheetView showGridLines="0" tabSelected="1" zoomScalePageLayoutView="0" workbookViewId="0" topLeftCell="A1">
      <selection activeCell="A1" sqref="A1"/>
    </sheetView>
  </sheetViews>
  <sheetFormatPr defaultColWidth="11.421875" defaultRowHeight="12.75"/>
  <cols>
    <col min="1" max="1" width="5.28125" style="0" customWidth="1"/>
    <col min="2" max="2" width="26.421875" style="0" customWidth="1"/>
    <col min="5" max="5" width="13.8515625" style="0" customWidth="1"/>
    <col min="6" max="6" width="10.8515625" style="0" customWidth="1"/>
  </cols>
  <sheetData>
    <row r="2" spans="1:11" ht="15.75">
      <c r="A2" s="1131" t="s">
        <v>897</v>
      </c>
      <c r="B2" s="1131"/>
      <c r="C2" s="1131"/>
      <c r="D2" s="1131"/>
      <c r="E2" s="1131"/>
      <c r="F2" s="1131"/>
      <c r="G2" s="1131"/>
      <c r="H2" s="1131"/>
      <c r="I2" s="1131"/>
      <c r="J2" s="1131"/>
      <c r="K2" s="1131"/>
    </row>
    <row r="3" spans="1:10" ht="12.75">
      <c r="A3" s="191"/>
      <c r="B3" s="192" t="s">
        <v>898</v>
      </c>
      <c r="C3" s="193"/>
      <c r="E3" s="194"/>
      <c r="F3" s="194"/>
      <c r="J3" s="22"/>
    </row>
    <row r="4" spans="1:5" ht="12.75">
      <c r="A4" s="191"/>
      <c r="B4" s="195" t="s">
        <v>899</v>
      </c>
      <c r="C4" s="157">
        <v>0</v>
      </c>
      <c r="E4" s="196" t="s">
        <v>900</v>
      </c>
    </row>
    <row r="5" spans="1:10" ht="13.5" thickBot="1">
      <c r="A5" s="191"/>
      <c r="B5" s="197"/>
      <c r="C5" s="197"/>
      <c r="D5" s="197"/>
      <c r="F5" s="180"/>
      <c r="G5" s="25"/>
      <c r="H5" s="198"/>
      <c r="I5" s="157"/>
      <c r="J5" s="157"/>
    </row>
    <row r="6" spans="1:11" ht="23.25" thickBot="1">
      <c r="A6" s="191"/>
      <c r="B6" s="199" t="s">
        <v>901</v>
      </c>
      <c r="C6" s="200"/>
      <c r="D6" s="201" t="s">
        <v>902</v>
      </c>
      <c r="F6" s="1132" t="s">
        <v>903</v>
      </c>
      <c r="G6" s="1133"/>
      <c r="H6" s="1133"/>
      <c r="I6" s="1133"/>
      <c r="J6" s="1134"/>
      <c r="K6" s="203" t="s">
        <v>904</v>
      </c>
    </row>
    <row r="7" spans="1:11" ht="12.75">
      <c r="A7" s="191"/>
      <c r="B7" s="204"/>
      <c r="C7" s="205"/>
      <c r="D7" s="206" t="s">
        <v>905</v>
      </c>
      <c r="F7" s="207">
        <v>1800</v>
      </c>
      <c r="G7" s="208"/>
      <c r="H7" s="207"/>
      <c r="I7" s="209"/>
      <c r="J7" s="210"/>
      <c r="K7" s="159"/>
    </row>
    <row r="8" spans="1:10" ht="12.75">
      <c r="A8" s="191"/>
      <c r="B8" s="180" t="s">
        <v>906</v>
      </c>
      <c r="C8" s="211"/>
      <c r="D8" s="212">
        <v>150</v>
      </c>
      <c r="F8" s="213"/>
      <c r="G8" s="214"/>
      <c r="H8" s="215"/>
      <c r="I8" s="215"/>
      <c r="J8" s="214"/>
    </row>
    <row r="9" spans="1:11" ht="12.75">
      <c r="A9" s="191"/>
      <c r="B9" s="216" t="s">
        <v>907</v>
      </c>
      <c r="C9" s="217"/>
      <c r="D9" s="218"/>
      <c r="F9" s="219">
        <f aca="true" t="shared" si="0" ref="F9:K9">$D$8*F7/1000</f>
        <v>270</v>
      </c>
      <c r="G9" s="219">
        <f t="shared" si="0"/>
        <v>0</v>
      </c>
      <c r="H9" s="219">
        <f t="shared" si="0"/>
        <v>0</v>
      </c>
      <c r="I9" s="219">
        <f t="shared" si="0"/>
        <v>0</v>
      </c>
      <c r="J9" s="219">
        <f t="shared" si="0"/>
        <v>0</v>
      </c>
      <c r="K9" s="219">
        <f t="shared" si="0"/>
        <v>0</v>
      </c>
    </row>
    <row r="34" spans="1:11" ht="13.5" thickBot="1">
      <c r="A34" s="191"/>
      <c r="B34" s="216" t="s">
        <v>908</v>
      </c>
      <c r="C34" s="217"/>
      <c r="D34" s="220"/>
      <c r="F34" s="221"/>
      <c r="G34" s="222"/>
      <c r="J34" s="65"/>
      <c r="K34" s="65"/>
    </row>
    <row r="35" spans="1:11" ht="13.5" thickBot="1">
      <c r="A35" s="191"/>
      <c r="B35" s="223" t="s">
        <v>909</v>
      </c>
      <c r="C35" s="164">
        <v>18</v>
      </c>
      <c r="G35" s="224"/>
      <c r="J35" s="65"/>
      <c r="K35" s="65"/>
    </row>
    <row r="36" spans="1:11" ht="13.5" thickBot="1">
      <c r="A36" s="225" t="s">
        <v>864</v>
      </c>
      <c r="B36" s="226"/>
      <c r="C36" s="227" t="s">
        <v>817</v>
      </c>
      <c r="D36" s="219" t="s">
        <v>910</v>
      </c>
      <c r="E36" s="160" t="s">
        <v>911</v>
      </c>
      <c r="F36" s="1135" t="s">
        <v>912</v>
      </c>
      <c r="G36" s="1136"/>
      <c r="H36" s="1136"/>
      <c r="I36" s="1136"/>
      <c r="J36" s="1136"/>
      <c r="K36" s="1137"/>
    </row>
    <row r="37" spans="1:11" ht="12.75">
      <c r="A37" s="225">
        <v>2</v>
      </c>
      <c r="B37" s="231" t="str">
        <f>IF($A37&lt;&gt;0,VLOOKUP($A37,equi,2),"")</f>
        <v>Arado de  Rejas  ( 2º pasada )</v>
      </c>
      <c r="C37" s="232">
        <v>1</v>
      </c>
      <c r="D37" s="231">
        <f>IF($A37&lt;&gt;0,VLOOKUP($A37,equi,3),"")</f>
        <v>0.95</v>
      </c>
      <c r="E37" s="165">
        <f>$C$35*D37</f>
        <v>17.099999999999998</v>
      </c>
      <c r="F37" s="233">
        <f aca="true" t="shared" si="1" ref="F37:K37">$E37*$C37</f>
        <v>17.099999999999998</v>
      </c>
      <c r="G37" s="233">
        <f t="shared" si="1"/>
        <v>17.099999999999998</v>
      </c>
      <c r="H37" s="233">
        <f t="shared" si="1"/>
        <v>17.099999999999998</v>
      </c>
      <c r="I37" s="233">
        <f t="shared" si="1"/>
        <v>17.099999999999998</v>
      </c>
      <c r="J37" s="233">
        <f t="shared" si="1"/>
        <v>17.099999999999998</v>
      </c>
      <c r="K37" s="233">
        <f t="shared" si="1"/>
        <v>17.099999999999998</v>
      </c>
    </row>
    <row r="38" spans="1:11" ht="12.75">
      <c r="A38" s="225"/>
      <c r="B38" s="234">
        <f>IF($M45&lt;&gt;0,VLOOKUP($M45,listo,2),"")</f>
      </c>
      <c r="C38" s="232"/>
      <c r="D38" s="235">
        <f>IF($M45&lt;&gt;0,VLOOKUP($M45,listo,3),"")</f>
      </c>
      <c r="E38" s="165"/>
      <c r="F38" s="233"/>
      <c r="G38" s="233"/>
      <c r="H38" s="233"/>
      <c r="I38" s="233"/>
      <c r="J38" s="233"/>
      <c r="K38" s="233"/>
    </row>
    <row r="39" spans="1:11" ht="12.75">
      <c r="A39" s="225"/>
      <c r="B39" s="234">
        <f>IF($M46&lt;&gt;0,VLOOKUP($M46,listo,2),"")</f>
      </c>
      <c r="C39" s="232"/>
      <c r="D39" s="235">
        <f>IF($M46&lt;&gt;0,VLOOKUP($M46,listo,3),"")</f>
      </c>
      <c r="E39" s="165"/>
      <c r="F39" s="233"/>
      <c r="G39" s="233"/>
      <c r="H39" s="233"/>
      <c r="I39" s="233"/>
      <c r="J39" s="233"/>
      <c r="K39" s="233"/>
    </row>
    <row r="40" spans="1:11" ht="12.75">
      <c r="A40" s="225"/>
      <c r="B40" s="234">
        <f>IF($M47&lt;&gt;0,VLOOKUP($M47,listo,2),"")</f>
      </c>
      <c r="C40" s="232"/>
      <c r="D40" s="235">
        <f>IF($M47&lt;&gt;0,VLOOKUP($M47,listo,3),"")</f>
      </c>
      <c r="E40" s="165"/>
      <c r="F40" s="233"/>
      <c r="G40" s="233"/>
      <c r="H40" s="233"/>
      <c r="I40" s="233"/>
      <c r="J40" s="233"/>
      <c r="K40" s="233"/>
    </row>
    <row r="41" spans="1:11" ht="12.75">
      <c r="A41" s="225"/>
      <c r="B41" s="234">
        <f>IF($M48&lt;&gt;0,VLOOKUP($M48,listo,2),"")</f>
      </c>
      <c r="C41" s="232"/>
      <c r="D41" s="235">
        <f>IF($M48&lt;&gt;0,VLOOKUP($M48,listo,3),"")</f>
      </c>
      <c r="E41" s="165"/>
      <c r="F41" s="233"/>
      <c r="G41" s="233"/>
      <c r="H41" s="233"/>
      <c r="I41" s="233"/>
      <c r="J41" s="233"/>
      <c r="K41" s="233"/>
    </row>
    <row r="42" spans="1:11" ht="12.75">
      <c r="A42" s="191"/>
      <c r="B42" s="166" t="s">
        <v>913</v>
      </c>
      <c r="C42" s="166"/>
      <c r="D42" s="236"/>
      <c r="E42" s="237"/>
      <c r="F42" s="238">
        <f aca="true" t="shared" si="2" ref="F42:K42">SUM(F37:F41)</f>
        <v>17.099999999999998</v>
      </c>
      <c r="G42" s="239">
        <f t="shared" si="2"/>
        <v>17.099999999999998</v>
      </c>
      <c r="H42" s="240">
        <f t="shared" si="2"/>
        <v>17.099999999999998</v>
      </c>
      <c r="I42" s="240">
        <f t="shared" si="2"/>
        <v>17.099999999999998</v>
      </c>
      <c r="J42" s="239">
        <f t="shared" si="2"/>
        <v>17.099999999999998</v>
      </c>
      <c r="K42" s="239">
        <f t="shared" si="2"/>
        <v>17.099999999999998</v>
      </c>
    </row>
    <row r="68" spans="2:11" ht="13.5" thickBot="1">
      <c r="B68" s="176" t="s">
        <v>914</v>
      </c>
      <c r="C68" s="170"/>
      <c r="D68" s="241"/>
      <c r="E68" s="157"/>
      <c r="F68" s="242"/>
      <c r="G68" s="243"/>
      <c r="H68" s="157"/>
      <c r="I68" s="157"/>
      <c r="J68" s="244"/>
      <c r="K68" s="244"/>
    </row>
    <row r="69" spans="2:11" ht="13.5" thickBot="1">
      <c r="B69" s="166"/>
      <c r="C69" s="170" t="s">
        <v>817</v>
      </c>
      <c r="D69" s="245" t="s">
        <v>915</v>
      </c>
      <c r="E69" s="245" t="s">
        <v>916</v>
      </c>
      <c r="F69" s="1135" t="s">
        <v>912</v>
      </c>
      <c r="G69" s="1136"/>
      <c r="H69" s="1136"/>
      <c r="I69" s="1136"/>
      <c r="J69" s="1136"/>
      <c r="K69" s="1137"/>
    </row>
    <row r="70" spans="2:11" ht="12.75">
      <c r="B70" s="162" t="s">
        <v>917</v>
      </c>
      <c r="C70" s="163">
        <v>7</v>
      </c>
      <c r="D70" s="164">
        <v>2.2</v>
      </c>
      <c r="E70" s="246">
        <f>1*D70</f>
        <v>2.2</v>
      </c>
      <c r="F70" s="247">
        <f aca="true" t="shared" si="3" ref="F70:K70">$E70*$C70</f>
        <v>15.400000000000002</v>
      </c>
      <c r="G70" s="247">
        <f t="shared" si="3"/>
        <v>15.400000000000002</v>
      </c>
      <c r="H70" s="247">
        <f t="shared" si="3"/>
        <v>15.400000000000002</v>
      </c>
      <c r="I70" s="247">
        <f t="shared" si="3"/>
        <v>15.400000000000002</v>
      </c>
      <c r="J70" s="247">
        <f t="shared" si="3"/>
        <v>15.400000000000002</v>
      </c>
      <c r="K70" s="247">
        <f t="shared" si="3"/>
        <v>15.400000000000002</v>
      </c>
    </row>
    <row r="71" spans="2:11" ht="12.75">
      <c r="B71" s="162"/>
      <c r="C71" s="163"/>
      <c r="D71" s="164"/>
      <c r="E71" s="246"/>
      <c r="F71" s="247"/>
      <c r="G71" s="247"/>
      <c r="H71" s="247"/>
      <c r="I71" s="247"/>
      <c r="J71" s="247"/>
      <c r="K71" s="247"/>
    </row>
    <row r="72" spans="2:11" ht="12.75">
      <c r="B72" s="162"/>
      <c r="C72" s="163"/>
      <c r="D72" s="164"/>
      <c r="E72" s="246"/>
      <c r="F72" s="247"/>
      <c r="G72" s="247"/>
      <c r="H72" s="247"/>
      <c r="I72" s="247"/>
      <c r="J72" s="247"/>
      <c r="K72" s="247"/>
    </row>
    <row r="73" spans="2:11" ht="12.75">
      <c r="B73" s="162"/>
      <c r="C73" s="163"/>
      <c r="D73" s="164"/>
      <c r="E73" s="246"/>
      <c r="F73" s="247"/>
      <c r="G73" s="247"/>
      <c r="H73" s="247"/>
      <c r="I73" s="247"/>
      <c r="J73" s="247"/>
      <c r="K73" s="247"/>
    </row>
    <row r="74" spans="2:11" ht="13.5" thickBot="1">
      <c r="B74" s="169" t="s">
        <v>823</v>
      </c>
      <c r="C74" s="169"/>
      <c r="D74" s="598"/>
      <c r="E74" s="599"/>
      <c r="F74" s="600">
        <f aca="true" t="shared" si="4" ref="F74:K74">SUM(F70:F73)</f>
        <v>15.400000000000002</v>
      </c>
      <c r="G74" s="601">
        <f t="shared" si="4"/>
        <v>15.400000000000002</v>
      </c>
      <c r="H74" s="600">
        <f t="shared" si="4"/>
        <v>15.400000000000002</v>
      </c>
      <c r="I74" s="600">
        <f t="shared" si="4"/>
        <v>15.400000000000002</v>
      </c>
      <c r="J74" s="601">
        <f t="shared" si="4"/>
        <v>15.400000000000002</v>
      </c>
      <c r="K74" s="601">
        <f t="shared" si="4"/>
        <v>15.400000000000002</v>
      </c>
    </row>
    <row r="75" spans="2:11" ht="13.5" thickBot="1">
      <c r="B75" s="602" t="s">
        <v>918</v>
      </c>
      <c r="C75" s="603"/>
      <c r="D75" s="604"/>
      <c r="E75" s="605"/>
      <c r="F75" s="606">
        <f aca="true" t="shared" si="5" ref="F75:K75">F42+F74</f>
        <v>32.5</v>
      </c>
      <c r="G75" s="607">
        <f t="shared" si="5"/>
        <v>32.5</v>
      </c>
      <c r="H75" s="606">
        <f t="shared" si="5"/>
        <v>32.5</v>
      </c>
      <c r="I75" s="606">
        <f t="shared" si="5"/>
        <v>32.5</v>
      </c>
      <c r="J75" s="607">
        <f t="shared" si="5"/>
        <v>32.5</v>
      </c>
      <c r="K75" s="608">
        <f t="shared" si="5"/>
        <v>32.5</v>
      </c>
    </row>
    <row r="82" ht="12.75">
      <c r="A82" s="191"/>
    </row>
    <row r="83" ht="12.75">
      <c r="A83" s="191"/>
    </row>
    <row r="84" ht="12.75">
      <c r="A84" s="191"/>
    </row>
    <row r="85" ht="12.75">
      <c r="A85" s="191"/>
    </row>
    <row r="86" ht="12.75">
      <c r="A86" s="191"/>
    </row>
    <row r="87" ht="12.75">
      <c r="A87" s="191"/>
    </row>
    <row r="88" ht="12.75">
      <c r="A88" s="191"/>
    </row>
    <row r="89" ht="12.75">
      <c r="A89" s="191"/>
    </row>
    <row r="90" ht="12.75">
      <c r="A90" s="191"/>
    </row>
    <row r="91" ht="12.75">
      <c r="A91" s="191"/>
    </row>
    <row r="92" ht="12.75">
      <c r="A92" s="191"/>
    </row>
    <row r="93" ht="12.75">
      <c r="A93" s="191"/>
    </row>
    <row r="94" ht="12.75">
      <c r="A94" s="191"/>
    </row>
    <row r="95" ht="12.75">
      <c r="A95" s="191"/>
    </row>
    <row r="96" ht="12.75">
      <c r="A96" s="191"/>
    </row>
    <row r="97" ht="12.75">
      <c r="A97" s="191"/>
    </row>
    <row r="98" ht="12.75">
      <c r="A98" s="191"/>
    </row>
    <row r="99" ht="12.75">
      <c r="A99" s="191"/>
    </row>
    <row r="100" ht="12.75">
      <c r="A100" s="191"/>
    </row>
    <row r="101" ht="12.75">
      <c r="A101" s="191"/>
    </row>
    <row r="102" ht="12.75">
      <c r="A102" s="191"/>
    </row>
    <row r="103" ht="13.5" thickBot="1">
      <c r="A103" s="191"/>
    </row>
    <row r="104" spans="1:11" ht="12.75">
      <c r="A104" s="191"/>
      <c r="B104" s="166" t="s">
        <v>824</v>
      </c>
      <c r="C104" s="170"/>
      <c r="D104" s="250" t="s">
        <v>919</v>
      </c>
      <c r="E104" s="251"/>
      <c r="F104" s="1138" t="s">
        <v>912</v>
      </c>
      <c r="G104" s="1139"/>
      <c r="H104" s="1139"/>
      <c r="I104" s="1139"/>
      <c r="J104" s="1139"/>
      <c r="K104" s="1140"/>
    </row>
    <row r="105" spans="1:11" ht="12.75">
      <c r="A105" s="191"/>
      <c r="B105" s="162" t="s">
        <v>826</v>
      </c>
      <c r="C105" s="642">
        <v>0.1</v>
      </c>
      <c r="D105" s="165">
        <f>C105*$D$8</f>
        <v>15</v>
      </c>
      <c r="E105" s="155">
        <f>1*D105</f>
        <v>15</v>
      </c>
      <c r="F105" s="248">
        <f aca="true" t="shared" si="6" ref="F105:K105">$E105*F7/1000</f>
        <v>27</v>
      </c>
      <c r="G105" s="248">
        <f t="shared" si="6"/>
        <v>0</v>
      </c>
      <c r="H105" s="248">
        <f t="shared" si="6"/>
        <v>0</v>
      </c>
      <c r="I105" s="248">
        <f t="shared" si="6"/>
        <v>0</v>
      </c>
      <c r="J105" s="248">
        <f t="shared" si="6"/>
        <v>0</v>
      </c>
      <c r="K105" s="248">
        <f t="shared" si="6"/>
        <v>0</v>
      </c>
    </row>
    <row r="106" spans="1:11" ht="12.75">
      <c r="A106" s="191"/>
      <c r="B106" s="162" t="s">
        <v>827</v>
      </c>
      <c r="C106" s="252">
        <v>1</v>
      </c>
      <c r="D106" s="155">
        <v>18</v>
      </c>
      <c r="E106" s="155">
        <f>1*D106</f>
        <v>18</v>
      </c>
      <c r="F106" s="248">
        <f>$E106*F7/1000</f>
        <v>32.4</v>
      </c>
      <c r="G106" s="248">
        <f>$P110*G7/1000</f>
        <v>0</v>
      </c>
      <c r="H106" s="248">
        <f>$P110*H7/1000</f>
        <v>0</v>
      </c>
      <c r="I106" s="248">
        <f>$P110*I7/1000</f>
        <v>0</v>
      </c>
      <c r="J106" s="248">
        <f>$P110*J7/1000</f>
        <v>0</v>
      </c>
      <c r="K106" s="248">
        <f>$P110*K7/1000</f>
        <v>0</v>
      </c>
    </row>
    <row r="107" spans="1:11" ht="12.75">
      <c r="A107" s="191"/>
      <c r="B107" s="174" t="s">
        <v>828</v>
      </c>
      <c r="C107" s="642">
        <v>0.01</v>
      </c>
      <c r="D107" s="165">
        <f>C107*$D$8</f>
        <v>1.5</v>
      </c>
      <c r="E107" s="155">
        <f>1*D107</f>
        <v>1.5</v>
      </c>
      <c r="F107" s="248">
        <f>$E107*F7/1000</f>
        <v>2.7</v>
      </c>
      <c r="G107" s="248">
        <f>$D108*G7/1000</f>
        <v>0</v>
      </c>
      <c r="H107" s="248">
        <f>$D108*H7/1000</f>
        <v>0</v>
      </c>
      <c r="I107" s="248">
        <f>$D108*I7/1000</f>
        <v>0</v>
      </c>
      <c r="J107" s="248">
        <f>$D108*J7/1000</f>
        <v>0</v>
      </c>
      <c r="K107" s="248">
        <f>$D108*K7/1000</f>
        <v>0</v>
      </c>
    </row>
    <row r="108" spans="1:11" ht="12.75">
      <c r="A108" s="191"/>
      <c r="B108" s="174" t="s">
        <v>920</v>
      </c>
      <c r="C108" s="642">
        <v>0.00121</v>
      </c>
      <c r="D108" s="165">
        <f>C108*$D$8</f>
        <v>0.1815</v>
      </c>
      <c r="E108" s="155">
        <f>1*D108</f>
        <v>0.1815</v>
      </c>
      <c r="F108" s="248">
        <f>$E108*F7/1000</f>
        <v>0.3267</v>
      </c>
      <c r="G108" s="248">
        <f>$D109*G7/1000</f>
        <v>0</v>
      </c>
      <c r="H108" s="248">
        <f>$D109*H7/1000</f>
        <v>0</v>
      </c>
      <c r="I108" s="248">
        <f>$D109*I7/1000</f>
        <v>0</v>
      </c>
      <c r="J108" s="248">
        <f>$D109*J7/1000</f>
        <v>0</v>
      </c>
      <c r="K108" s="248">
        <f>$D109*K7/1000</f>
        <v>0</v>
      </c>
    </row>
    <row r="109" spans="1:11" ht="12.75">
      <c r="A109" s="191"/>
      <c r="B109" s="166" t="s">
        <v>829</v>
      </c>
      <c r="C109" s="176"/>
      <c r="D109" s="248">
        <f aca="true" t="shared" si="7" ref="D109:K109">SUM(D105:D108)</f>
        <v>34.6815</v>
      </c>
      <c r="E109" s="248">
        <f t="shared" si="7"/>
        <v>34.6815</v>
      </c>
      <c r="F109" s="248">
        <f t="shared" si="7"/>
        <v>62.426700000000004</v>
      </c>
      <c r="G109" s="248">
        <f t="shared" si="7"/>
        <v>0</v>
      </c>
      <c r="H109" s="248">
        <f t="shared" si="7"/>
        <v>0</v>
      </c>
      <c r="I109" s="248">
        <f t="shared" si="7"/>
        <v>0</v>
      </c>
      <c r="J109" s="248">
        <f t="shared" si="7"/>
        <v>0</v>
      </c>
      <c r="K109" s="248">
        <f t="shared" si="7"/>
        <v>0</v>
      </c>
    </row>
    <row r="110" spans="1:11" ht="12.75">
      <c r="A110" s="191"/>
      <c r="B110" s="180"/>
      <c r="C110" s="157"/>
      <c r="D110" s="249"/>
      <c r="E110" s="249"/>
      <c r="F110" s="171"/>
      <c r="G110" s="244"/>
      <c r="H110" s="157"/>
      <c r="I110" s="157"/>
      <c r="J110" s="244"/>
      <c r="K110" s="244"/>
    </row>
    <row r="137" ht="13.5" thickBot="1"/>
    <row r="138" spans="1:11" ht="15.75" thickBot="1">
      <c r="A138" s="191"/>
      <c r="B138" s="609" t="s">
        <v>921</v>
      </c>
      <c r="C138" s="610"/>
      <c r="D138" s="611"/>
      <c r="E138" s="605"/>
      <c r="F138" s="606">
        <f aca="true" t="shared" si="8" ref="F138:K138">F42+F74+F109</f>
        <v>94.92670000000001</v>
      </c>
      <c r="G138" s="606">
        <f t="shared" si="8"/>
        <v>32.5</v>
      </c>
      <c r="H138" s="606">
        <f t="shared" si="8"/>
        <v>32.5</v>
      </c>
      <c r="I138" s="606">
        <f t="shared" si="8"/>
        <v>32.5</v>
      </c>
      <c r="J138" s="606">
        <f t="shared" si="8"/>
        <v>32.5</v>
      </c>
      <c r="K138" s="612">
        <f t="shared" si="8"/>
        <v>32.5</v>
      </c>
    </row>
    <row r="152" ht="13.5" thickBot="1"/>
    <row r="153" spans="1:11" ht="15.75" thickBot="1">
      <c r="A153" s="191"/>
      <c r="B153" s="254" t="s">
        <v>922</v>
      </c>
      <c r="C153" s="255"/>
      <c r="D153" s="256"/>
      <c r="E153" s="157"/>
      <c r="F153" s="249">
        <f aca="true" t="shared" si="9" ref="F153:K153">F9-F138</f>
        <v>175.0733</v>
      </c>
      <c r="G153" s="249">
        <f t="shared" si="9"/>
        <v>-32.5</v>
      </c>
      <c r="H153" s="249">
        <f t="shared" si="9"/>
        <v>-32.5</v>
      </c>
      <c r="I153" s="249">
        <f t="shared" si="9"/>
        <v>-32.5</v>
      </c>
      <c r="J153" s="249">
        <f t="shared" si="9"/>
        <v>-32.5</v>
      </c>
      <c r="K153" s="249">
        <f t="shared" si="9"/>
        <v>-32.5</v>
      </c>
    </row>
    <row r="154" spans="1:4" ht="13.5" thickBot="1">
      <c r="A154" s="191"/>
      <c r="B154" s="257" t="s">
        <v>923</v>
      </c>
      <c r="C154" s="258"/>
      <c r="D154" s="259">
        <f>(F75/(D8-D109))*1000</f>
        <v>281.82815419902266</v>
      </c>
    </row>
    <row r="155" spans="1:11" ht="13.5" thickBot="1">
      <c r="A155" s="191"/>
      <c r="B155" s="260" t="s">
        <v>924</v>
      </c>
      <c r="C155" s="261"/>
      <c r="D155" s="261"/>
      <c r="E155" s="261"/>
      <c r="F155" s="262">
        <f>(F75+D106*F7/1000)/((F7/1000-F7/1000*(C105+C107+C108)))</f>
        <v>40.56701308020517</v>
      </c>
      <c r="G155" s="263" t="e">
        <f>(G75+$P$157*$T$132*G7/1000)/((G7/1000-G7/1000*($O$156+$O$158+$O$159)))/$T$132</f>
        <v>#DIV/0!</v>
      </c>
      <c r="H155" s="263" t="e">
        <f>(H75+$P$157*$T$132*H7/1000)/((H7/1000-H7/1000*($O$156+$O$158+$O$159)))/$T$132</f>
        <v>#DIV/0!</v>
      </c>
      <c r="I155" s="263" t="e">
        <f>(I75+$P$157*$T$132*I7/1000)/((I7/1000-I7/1000*($O$156+$O$158+$O$159)))/$T$132</f>
        <v>#DIV/0!</v>
      </c>
      <c r="J155" s="263" t="e">
        <f>(J75+$P$157*$T$132*J7/1000)/((J7/1000-J7/1000*($O$156+$O$158+$O$159)))/$T$132</f>
        <v>#DIV/0!</v>
      </c>
      <c r="K155" s="263" t="e">
        <f>(K75+$P$157*$T$132*K7/1000)/((K7/1000-K7/1000*($O$156+$O$158+$O$159)))/$T$132</f>
        <v>#DIV/0!</v>
      </c>
    </row>
    <row r="176" spans="2:11" ht="20.25">
      <c r="B176" s="1141" t="s">
        <v>925</v>
      </c>
      <c r="C176" s="1141"/>
      <c r="D176" s="1141"/>
      <c r="E176" s="1141"/>
      <c r="F176" s="1141"/>
      <c r="G176" s="1141"/>
      <c r="H176" s="1141"/>
      <c r="I176" s="1141"/>
      <c r="J176" s="1141"/>
      <c r="K176" s="1141"/>
    </row>
    <row r="177" spans="1:11" ht="15.75">
      <c r="A177" s="1131" t="s">
        <v>897</v>
      </c>
      <c r="B177" s="1131"/>
      <c r="C177" s="1131"/>
      <c r="D177" s="1131"/>
      <c r="E177" s="1131"/>
      <c r="F177" s="1131"/>
      <c r="G177" s="1131"/>
      <c r="H177" s="1131"/>
      <c r="I177" s="1131"/>
      <c r="J177" s="1131"/>
      <c r="K177" s="1131"/>
    </row>
    <row r="178" spans="1:10" ht="12.75">
      <c r="A178" s="191"/>
      <c r="B178" s="192" t="s">
        <v>898</v>
      </c>
      <c r="C178" s="193" t="s">
        <v>149</v>
      </c>
      <c r="E178" s="194"/>
      <c r="F178" s="194"/>
      <c r="J178" s="22"/>
    </row>
    <row r="179" spans="1:5" ht="12.75">
      <c r="A179" s="191"/>
      <c r="B179" s="195" t="s">
        <v>899</v>
      </c>
      <c r="C179" s="157">
        <v>0</v>
      </c>
      <c r="E179" s="196" t="s">
        <v>900</v>
      </c>
    </row>
    <row r="180" spans="1:10" ht="13.5" thickBot="1">
      <c r="A180" s="191"/>
      <c r="B180" s="197"/>
      <c r="C180" s="197"/>
      <c r="D180" s="197"/>
      <c r="F180" s="180"/>
      <c r="G180" s="25"/>
      <c r="H180" s="198"/>
      <c r="I180" s="157"/>
      <c r="J180" s="157"/>
    </row>
    <row r="181" spans="1:11" ht="23.25" thickBot="1">
      <c r="A181" s="191"/>
      <c r="B181" s="199" t="s">
        <v>901</v>
      </c>
      <c r="C181" s="200"/>
      <c r="D181" s="201" t="s">
        <v>902</v>
      </c>
      <c r="F181" s="1132" t="s">
        <v>903</v>
      </c>
      <c r="G181" s="1133"/>
      <c r="H181" s="1133"/>
      <c r="I181" s="1133"/>
      <c r="J181" s="1134"/>
      <c r="K181" s="203" t="s">
        <v>904</v>
      </c>
    </row>
    <row r="182" spans="1:11" ht="12.75">
      <c r="A182" s="191"/>
      <c r="B182" s="204"/>
      <c r="C182" s="205"/>
      <c r="D182" s="206" t="s">
        <v>905</v>
      </c>
      <c r="F182" s="207">
        <v>850</v>
      </c>
      <c r="G182" s="208">
        <v>1200</v>
      </c>
      <c r="H182" s="207">
        <v>1500</v>
      </c>
      <c r="I182" s="209">
        <v>1750</v>
      </c>
      <c r="J182" s="210">
        <v>2000</v>
      </c>
      <c r="K182" s="159"/>
    </row>
    <row r="183" spans="1:10" ht="12.75">
      <c r="A183" s="191"/>
      <c r="B183" s="180" t="s">
        <v>906</v>
      </c>
      <c r="C183" s="211"/>
      <c r="D183" s="212">
        <v>520</v>
      </c>
      <c r="F183" s="213"/>
      <c r="G183" s="214"/>
      <c r="H183" s="215"/>
      <c r="I183" s="215"/>
      <c r="J183" s="214"/>
    </row>
    <row r="184" spans="1:11" ht="12.75">
      <c r="A184" s="191"/>
      <c r="B184" s="216" t="s">
        <v>907</v>
      </c>
      <c r="C184" s="217"/>
      <c r="D184" s="218"/>
      <c r="F184" s="264">
        <f>$D$183*F182/1000</f>
        <v>442</v>
      </c>
      <c r="G184" s="264">
        <f>$D$183*G182/1000</f>
        <v>624</v>
      </c>
      <c r="H184" s="264">
        <f>$D$183*H182/1000</f>
        <v>780</v>
      </c>
      <c r="I184" s="264">
        <f>$D$183*I182/1000</f>
        <v>910</v>
      </c>
      <c r="J184" s="264">
        <f>$D$183*J182/1000</f>
        <v>1040</v>
      </c>
      <c r="K184" s="264"/>
    </row>
    <row r="185" spans="1:11" ht="13.5" thickBot="1">
      <c r="A185" s="191"/>
      <c r="B185" s="216" t="s">
        <v>908</v>
      </c>
      <c r="C185" s="217"/>
      <c r="D185" s="220"/>
      <c r="F185" s="221"/>
      <c r="G185" s="222"/>
      <c r="J185" s="65"/>
      <c r="K185" s="65"/>
    </row>
    <row r="186" spans="1:11" ht="13.5" thickBot="1">
      <c r="A186" s="191"/>
      <c r="B186" s="223" t="s">
        <v>909</v>
      </c>
      <c r="C186" s="164">
        <f>1*resumen!C18</f>
        <v>0</v>
      </c>
      <c r="G186" s="224"/>
      <c r="J186" s="65"/>
      <c r="K186" s="65"/>
    </row>
    <row r="187" spans="1:11" ht="13.5" thickBot="1">
      <c r="A187" s="225" t="s">
        <v>864</v>
      </c>
      <c r="B187" s="226"/>
      <c r="C187" s="227" t="s">
        <v>817</v>
      </c>
      <c r="D187" s="219" t="s">
        <v>910</v>
      </c>
      <c r="E187" s="160" t="s">
        <v>911</v>
      </c>
      <c r="F187" s="1135" t="s">
        <v>912</v>
      </c>
      <c r="G187" s="1136"/>
      <c r="H187" s="1136"/>
      <c r="I187" s="1136"/>
      <c r="J187" s="1136"/>
      <c r="K187" s="1137"/>
    </row>
    <row r="188" spans="1:11" ht="12.75">
      <c r="A188" s="225">
        <v>18</v>
      </c>
      <c r="B188" s="231" t="str">
        <f>IF($A188&lt;&gt;0,VLOOKUP($A188,equi,2),"")</f>
        <v>Siembra Gruesa - Labranza Cero</v>
      </c>
      <c r="C188" s="232">
        <v>1.3</v>
      </c>
      <c r="D188" s="613">
        <f>IF($A188&lt;&gt;0,VLOOKUP($A188,equi,3),"")</f>
        <v>0.65</v>
      </c>
      <c r="E188" s="265">
        <f>$C$186*D188</f>
        <v>0</v>
      </c>
      <c r="F188" s="266">
        <f>$E$188*$C$188</f>
        <v>0</v>
      </c>
      <c r="G188" s="266">
        <f>$E$188*$C$188</f>
        <v>0</v>
      </c>
      <c r="H188" s="266">
        <f>$E$188*$C$188</f>
        <v>0</v>
      </c>
      <c r="I188" s="266">
        <f>$E$188*$C$188</f>
        <v>0</v>
      </c>
      <c r="J188" s="266">
        <f>$E$188*$C$188</f>
        <v>0</v>
      </c>
      <c r="K188" s="266"/>
    </row>
    <row r="189" spans="1:11" ht="12.75">
      <c r="A189" s="225">
        <v>22</v>
      </c>
      <c r="B189" s="231" t="str">
        <f>IF($A189&lt;&gt;0,VLOOKUP($A189,equi,2),"")</f>
        <v>Pulverización Terrestre p/Herbicidas y Defoliantes</v>
      </c>
      <c r="C189" s="232">
        <v>3</v>
      </c>
      <c r="D189" s="613">
        <f>IF($A189&lt;&gt;0,VLOOKUP($A189,equi,3),"")</f>
        <v>0.25</v>
      </c>
      <c r="E189" s="265">
        <f>$C$186*D189</f>
        <v>0</v>
      </c>
      <c r="F189" s="266">
        <f>$E$189*$C$189</f>
        <v>0</v>
      </c>
      <c r="G189" s="266">
        <f>$E$189*$C$189</f>
        <v>0</v>
      </c>
      <c r="H189" s="266">
        <f>$E$189*$C$189</f>
        <v>0</v>
      </c>
      <c r="I189" s="266">
        <f>$E$189*$C$189</f>
        <v>0</v>
      </c>
      <c r="J189" s="266">
        <f>$E$189*$C$189</f>
        <v>0</v>
      </c>
      <c r="K189" s="266"/>
    </row>
    <row r="190" spans="1:11" ht="12.75">
      <c r="A190" s="225">
        <v>23</v>
      </c>
      <c r="B190" s="231" t="str">
        <f>IF($A190&lt;&gt;0,VLOOKUP($A190,equi,2),"")</f>
        <v>Pulverización Terrestre p/Insecticidas</v>
      </c>
      <c r="C190" s="232">
        <v>2</v>
      </c>
      <c r="D190" s="613">
        <f>IF($A190&lt;&gt;0,VLOOKUP($A190,equi,3),"")</f>
        <v>0.3</v>
      </c>
      <c r="E190" s="265">
        <f>$C$186*D190</f>
        <v>0</v>
      </c>
      <c r="F190" s="266">
        <f>$E$190*$C$190</f>
        <v>0</v>
      </c>
      <c r="G190" s="266">
        <f>$E$190*$C$190</f>
        <v>0</v>
      </c>
      <c r="H190" s="266">
        <f>$E$190*$C$190</f>
        <v>0</v>
      </c>
      <c r="I190" s="266">
        <f>$E$190*$C$190</f>
        <v>0</v>
      </c>
      <c r="J190" s="266">
        <f>$E$190*$C$190</f>
        <v>0</v>
      </c>
      <c r="K190" s="266"/>
    </row>
    <row r="191" spans="1:11" ht="12.75">
      <c r="A191" s="225">
        <v>29</v>
      </c>
      <c r="B191" s="231" t="str">
        <f>IF($A191&lt;&gt;0,VLOOKUP($A191,equi,2),"")</f>
        <v>Pulverizacion aérea</v>
      </c>
      <c r="C191" s="232">
        <v>1</v>
      </c>
      <c r="D191" s="613">
        <f>IF($A191&lt;&gt;0,VLOOKUP($A191,equi,3),"")</f>
        <v>0.6</v>
      </c>
      <c r="E191" s="265">
        <f>$C$186*D191</f>
        <v>0</v>
      </c>
      <c r="F191" s="266">
        <f>$E$191*$C$191</f>
        <v>0</v>
      </c>
      <c r="G191" s="266">
        <f>$E$191*$C$191</f>
        <v>0</v>
      </c>
      <c r="H191" s="266">
        <f>$E$191*$C$191</f>
        <v>0</v>
      </c>
      <c r="I191" s="266">
        <f>$E$191*$C$191</f>
        <v>0</v>
      </c>
      <c r="J191" s="266">
        <f>$E$191*$C$191</f>
        <v>0</v>
      </c>
      <c r="K191" s="266"/>
    </row>
    <row r="192" spans="1:11" ht="12.75">
      <c r="A192" s="225"/>
      <c r="B192" s="231">
        <f>IF($A192&lt;&gt;0,VLOOKUP($A192,listo,2),"")</f>
      </c>
      <c r="C192" s="232"/>
      <c r="D192" s="231"/>
      <c r="E192" s="265">
        <f>$C$186*D192</f>
        <v>0</v>
      </c>
      <c r="F192" s="266"/>
      <c r="G192" s="266"/>
      <c r="H192" s="266"/>
      <c r="I192" s="266"/>
      <c r="J192" s="266"/>
      <c r="K192" s="266"/>
    </row>
    <row r="193" spans="1:11" ht="12.75">
      <c r="A193" s="191"/>
      <c r="B193" s="267" t="s">
        <v>913</v>
      </c>
      <c r="C193" s="267"/>
      <c r="D193" s="268"/>
      <c r="E193" s="614">
        <f aca="true" t="shared" si="10" ref="E193:J193">SUM(E188:E192)</f>
        <v>0</v>
      </c>
      <c r="F193" s="269">
        <f t="shared" si="10"/>
        <v>0</v>
      </c>
      <c r="G193" s="269">
        <f t="shared" si="10"/>
        <v>0</v>
      </c>
      <c r="H193" s="269">
        <f t="shared" si="10"/>
        <v>0</v>
      </c>
      <c r="I193" s="269">
        <f t="shared" si="10"/>
        <v>0</v>
      </c>
      <c r="J193" s="269">
        <f t="shared" si="10"/>
        <v>0</v>
      </c>
      <c r="K193" s="239"/>
    </row>
    <row r="194" spans="2:11" ht="13.5" thickBot="1">
      <c r="B194" s="270" t="s">
        <v>914</v>
      </c>
      <c r="C194" s="271"/>
      <c r="D194" s="272"/>
      <c r="E194" s="244"/>
      <c r="F194" s="273"/>
      <c r="G194" s="243"/>
      <c r="H194" s="244"/>
      <c r="I194" s="244"/>
      <c r="J194" s="244"/>
      <c r="K194" s="244"/>
    </row>
    <row r="195" spans="2:11" ht="13.5" thickBot="1">
      <c r="B195" s="267"/>
      <c r="C195" s="271" t="s">
        <v>817</v>
      </c>
      <c r="D195" s="243" t="s">
        <v>915</v>
      </c>
      <c r="E195" s="243" t="s">
        <v>916</v>
      </c>
      <c r="F195" s="1135" t="s">
        <v>912</v>
      </c>
      <c r="G195" s="1136"/>
      <c r="H195" s="1136"/>
      <c r="I195" s="1136"/>
      <c r="J195" s="1136"/>
      <c r="K195" s="1137"/>
    </row>
    <row r="196" spans="2:11" ht="12.75">
      <c r="B196" s="274" t="s">
        <v>150</v>
      </c>
      <c r="C196" s="275">
        <v>70</v>
      </c>
      <c r="D196" s="276">
        <f>520*2.3/1000</f>
        <v>1.196</v>
      </c>
      <c r="E196" s="277">
        <f aca="true" t="shared" si="11" ref="E196:J196">$D$196*$C$196</f>
        <v>83.72</v>
      </c>
      <c r="F196" s="277">
        <f t="shared" si="11"/>
        <v>83.72</v>
      </c>
      <c r="G196" s="277">
        <f t="shared" si="11"/>
        <v>83.72</v>
      </c>
      <c r="H196" s="277">
        <f t="shared" si="11"/>
        <v>83.72</v>
      </c>
      <c r="I196" s="277">
        <f t="shared" si="11"/>
        <v>83.72</v>
      </c>
      <c r="J196" s="277">
        <f t="shared" si="11"/>
        <v>83.72</v>
      </c>
      <c r="K196" s="278"/>
    </row>
    <row r="197" spans="2:11" ht="12.75">
      <c r="B197" s="274" t="s">
        <v>151</v>
      </c>
      <c r="C197" s="275">
        <v>4</v>
      </c>
      <c r="D197" s="276">
        <f>3.25*2.9</f>
        <v>9.424999999999999</v>
      </c>
      <c r="E197" s="277">
        <f aca="true" t="shared" si="12" ref="E197:J197">$D$197*$C$197</f>
        <v>37.699999999999996</v>
      </c>
      <c r="F197" s="277">
        <f t="shared" si="12"/>
        <v>37.699999999999996</v>
      </c>
      <c r="G197" s="277">
        <f t="shared" si="12"/>
        <v>37.699999999999996</v>
      </c>
      <c r="H197" s="277">
        <f t="shared" si="12"/>
        <v>37.699999999999996</v>
      </c>
      <c r="I197" s="277">
        <f t="shared" si="12"/>
        <v>37.699999999999996</v>
      </c>
      <c r="J197" s="277">
        <f t="shared" si="12"/>
        <v>37.699999999999996</v>
      </c>
      <c r="K197" s="278"/>
    </row>
    <row r="198" spans="2:11" ht="12.75">
      <c r="B198" s="274" t="s">
        <v>152</v>
      </c>
      <c r="C198" s="275">
        <v>1.2</v>
      </c>
      <c r="D198" s="276">
        <v>18</v>
      </c>
      <c r="E198" s="277">
        <f aca="true" t="shared" si="13" ref="E198:J198">$D$198*$C$198</f>
        <v>21.599999999999998</v>
      </c>
      <c r="F198" s="277">
        <f t="shared" si="13"/>
        <v>21.599999999999998</v>
      </c>
      <c r="G198" s="277">
        <f t="shared" si="13"/>
        <v>21.599999999999998</v>
      </c>
      <c r="H198" s="277">
        <f t="shared" si="13"/>
        <v>21.599999999999998</v>
      </c>
      <c r="I198" s="277">
        <f t="shared" si="13"/>
        <v>21.599999999999998</v>
      </c>
      <c r="J198" s="277">
        <f t="shared" si="13"/>
        <v>21.599999999999998</v>
      </c>
      <c r="K198" s="278"/>
    </row>
    <row r="199" spans="2:11" ht="12.75">
      <c r="B199" s="274" t="s">
        <v>153</v>
      </c>
      <c r="C199" s="275">
        <v>1.25</v>
      </c>
      <c r="D199" s="276">
        <v>28</v>
      </c>
      <c r="E199" s="277">
        <f aca="true" t="shared" si="14" ref="E199:J199">$D$199*$C$199</f>
        <v>35</v>
      </c>
      <c r="F199" s="277">
        <f t="shared" si="14"/>
        <v>35</v>
      </c>
      <c r="G199" s="277">
        <f t="shared" si="14"/>
        <v>35</v>
      </c>
      <c r="H199" s="277">
        <f t="shared" si="14"/>
        <v>35</v>
      </c>
      <c r="I199" s="277">
        <f t="shared" si="14"/>
        <v>35</v>
      </c>
      <c r="J199" s="277">
        <f t="shared" si="14"/>
        <v>35</v>
      </c>
      <c r="K199" s="278"/>
    </row>
    <row r="200" spans="2:11" ht="12.75">
      <c r="B200" s="267" t="s">
        <v>823</v>
      </c>
      <c r="C200" s="267"/>
      <c r="D200" s="279"/>
      <c r="E200" s="277">
        <f aca="true" t="shared" si="15" ref="E200:J200">SUM(E196:E199)</f>
        <v>178.01999999999998</v>
      </c>
      <c r="F200" s="280">
        <f t="shared" si="15"/>
        <v>178.01999999999998</v>
      </c>
      <c r="G200" s="280">
        <f t="shared" si="15"/>
        <v>178.01999999999998</v>
      </c>
      <c r="H200" s="280">
        <f t="shared" si="15"/>
        <v>178.01999999999998</v>
      </c>
      <c r="I200" s="280">
        <f t="shared" si="15"/>
        <v>178.01999999999998</v>
      </c>
      <c r="J200" s="280">
        <f t="shared" si="15"/>
        <v>178.01999999999998</v>
      </c>
      <c r="K200" s="280"/>
    </row>
    <row r="201" spans="2:11" ht="13.5" thickBot="1">
      <c r="B201" s="267" t="s">
        <v>918</v>
      </c>
      <c r="C201" s="271"/>
      <c r="D201" s="281"/>
      <c r="E201" s="244"/>
      <c r="F201" s="282"/>
      <c r="G201" s="282"/>
      <c r="H201" s="282"/>
      <c r="I201" s="282"/>
      <c r="J201" s="282"/>
      <c r="K201" s="282"/>
    </row>
    <row r="202" spans="1:11" ht="13.5" thickBot="1">
      <c r="A202" s="191"/>
      <c r="B202" s="267" t="s">
        <v>824</v>
      </c>
      <c r="C202" s="271"/>
      <c r="D202" s="282" t="s">
        <v>919</v>
      </c>
      <c r="E202" s="283"/>
      <c r="F202" s="228" t="s">
        <v>912</v>
      </c>
      <c r="G202" s="229"/>
      <c r="H202" s="229"/>
      <c r="I202" s="229"/>
      <c r="J202" s="229"/>
      <c r="K202" s="230"/>
    </row>
    <row r="203" spans="1:11" ht="12.75">
      <c r="A203" s="191"/>
      <c r="B203" s="274" t="s">
        <v>926</v>
      </c>
      <c r="C203" s="615">
        <v>0.1</v>
      </c>
      <c r="D203" s="265">
        <f>$D$183*C203</f>
        <v>52</v>
      </c>
      <c r="E203" s="330">
        <f>D203*1</f>
        <v>52</v>
      </c>
      <c r="F203" s="279">
        <f>F184*$C$203</f>
        <v>44.2</v>
      </c>
      <c r="G203" s="279">
        <f>G184*$C$203</f>
        <v>62.400000000000006</v>
      </c>
      <c r="H203" s="279">
        <f>H184*$C$203</f>
        <v>78</v>
      </c>
      <c r="I203" s="279">
        <f>I184*$C$203</f>
        <v>91</v>
      </c>
      <c r="J203" s="279">
        <f>J184*$C$203</f>
        <v>104</v>
      </c>
      <c r="K203" s="279"/>
    </row>
    <row r="204" spans="1:11" ht="12.75">
      <c r="A204" s="191"/>
      <c r="B204" s="274" t="s">
        <v>827</v>
      </c>
      <c r="C204" s="284">
        <v>1</v>
      </c>
      <c r="D204" s="330">
        <v>48</v>
      </c>
      <c r="E204" s="330">
        <f>D204*1</f>
        <v>48</v>
      </c>
      <c r="F204" s="279">
        <f>$E$204*F182/1000</f>
        <v>40.8</v>
      </c>
      <c r="G204" s="279">
        <f>$E$204*G182/1000</f>
        <v>57.6</v>
      </c>
      <c r="H204" s="279">
        <f>$E$204*H182/1000</f>
        <v>72</v>
      </c>
      <c r="I204" s="279">
        <f>$E$204*I182/1000</f>
        <v>84</v>
      </c>
      <c r="J204" s="279">
        <f>$E$204*J182/1000</f>
        <v>96</v>
      </c>
      <c r="K204" s="279"/>
    </row>
    <row r="205" spans="1:11" ht="12.75">
      <c r="A205" s="191"/>
      <c r="B205" s="286" t="s">
        <v>828</v>
      </c>
      <c r="C205" s="615">
        <v>0.01</v>
      </c>
      <c r="D205" s="265">
        <f>$D$183*C205</f>
        <v>5.2</v>
      </c>
      <c r="E205" s="330">
        <f>D205*1</f>
        <v>5.2</v>
      </c>
      <c r="F205" s="279">
        <f>F184*$C$205</f>
        <v>4.42</v>
      </c>
      <c r="G205" s="279">
        <f>G184*$C$205</f>
        <v>6.24</v>
      </c>
      <c r="H205" s="279">
        <f>H184*$C$205</f>
        <v>7.8</v>
      </c>
      <c r="I205" s="279">
        <f>I184*$C$205</f>
        <v>9.1</v>
      </c>
      <c r="J205" s="279">
        <f>J184*$C$205</f>
        <v>10.4</v>
      </c>
      <c r="K205" s="279"/>
    </row>
    <row r="206" spans="1:11" ht="12.75">
      <c r="A206" s="191"/>
      <c r="B206" s="286" t="s">
        <v>927</v>
      </c>
      <c r="C206" s="615">
        <v>0.001</v>
      </c>
      <c r="D206" s="265">
        <f>$D$183*C206</f>
        <v>0.52</v>
      </c>
      <c r="E206" s="330">
        <f>D206*1</f>
        <v>0.52</v>
      </c>
      <c r="F206" s="279">
        <f>F184*$C$206</f>
        <v>0.442</v>
      </c>
      <c r="G206" s="279">
        <f>G184*$C$206</f>
        <v>0.624</v>
      </c>
      <c r="H206" s="279">
        <f>H184*$C$206</f>
        <v>0.78</v>
      </c>
      <c r="I206" s="279">
        <f>I184*$C$206</f>
        <v>0.91</v>
      </c>
      <c r="J206" s="279">
        <f>J184*$C$206</f>
        <v>1.04</v>
      </c>
      <c r="K206" s="279"/>
    </row>
    <row r="207" spans="1:11" ht="12.75">
      <c r="A207" s="191"/>
      <c r="B207" s="267" t="s">
        <v>829</v>
      </c>
      <c r="C207" s="270"/>
      <c r="D207" s="280"/>
      <c r="E207" s="280">
        <f aca="true" t="shared" si="16" ref="E207:J207">SUM(E203:E206)</f>
        <v>105.72</v>
      </c>
      <c r="F207" s="280">
        <f t="shared" si="16"/>
        <v>89.862</v>
      </c>
      <c r="G207" s="280">
        <f t="shared" si="16"/>
        <v>126.86399999999999</v>
      </c>
      <c r="H207" s="280">
        <f t="shared" si="16"/>
        <v>158.58</v>
      </c>
      <c r="I207" s="280">
        <f t="shared" si="16"/>
        <v>185.01</v>
      </c>
      <c r="J207" s="280">
        <f t="shared" si="16"/>
        <v>211.44</v>
      </c>
      <c r="K207" s="280"/>
    </row>
    <row r="208" spans="1:11" ht="15.75" thickBot="1">
      <c r="A208" s="191"/>
      <c r="B208" s="287" t="s">
        <v>921</v>
      </c>
      <c r="C208" s="288"/>
      <c r="D208" s="289"/>
      <c r="E208" s="244"/>
      <c r="F208" s="290">
        <f>F193+F200+F207</f>
        <v>267.88199999999995</v>
      </c>
      <c r="G208" s="290">
        <f>G193+G200+G207</f>
        <v>304.88399999999996</v>
      </c>
      <c r="H208" s="290">
        <f>H193+H200+H207</f>
        <v>336.6</v>
      </c>
      <c r="I208" s="290">
        <f>I193+I200+I207</f>
        <v>363.03</v>
      </c>
      <c r="J208" s="290">
        <f>J193+J200+J207</f>
        <v>389.46</v>
      </c>
      <c r="K208" s="290"/>
    </row>
    <row r="209" spans="1:11" ht="15.75" thickBot="1">
      <c r="A209" s="191"/>
      <c r="B209" s="616" t="s">
        <v>922</v>
      </c>
      <c r="C209" s="291"/>
      <c r="D209" s="292"/>
      <c r="E209" s="244"/>
      <c r="F209" s="280">
        <f>F184-F208</f>
        <v>174.11800000000005</v>
      </c>
      <c r="G209" s="280">
        <f>G184-G208</f>
        <v>319.11600000000004</v>
      </c>
      <c r="H209" s="280">
        <f>H184-H208</f>
        <v>443.4</v>
      </c>
      <c r="I209" s="280">
        <f>I184-I208</f>
        <v>546.97</v>
      </c>
      <c r="J209" s="280">
        <f>J184-J208</f>
        <v>650.54</v>
      </c>
      <c r="K209" s="280"/>
    </row>
    <row r="210" spans="1:11" ht="13.5" thickBot="1">
      <c r="A210" s="191"/>
      <c r="B210" s="617" t="s">
        <v>923</v>
      </c>
      <c r="C210" s="618"/>
      <c r="D210" s="619">
        <f>(F193+F200)/(D183-E207)*1000</f>
        <v>429.70937530172824</v>
      </c>
      <c r="E210" s="65"/>
      <c r="F210" s="65"/>
      <c r="G210" s="65"/>
      <c r="H210" s="65"/>
      <c r="I210" s="65"/>
      <c r="J210" s="65"/>
      <c r="K210" s="65"/>
    </row>
    <row r="211" spans="1:11" ht="13.5" thickBot="1">
      <c r="A211" s="191"/>
      <c r="B211" s="293" t="s">
        <v>924</v>
      </c>
      <c r="C211" s="294"/>
      <c r="D211" s="294"/>
      <c r="E211" s="295"/>
      <c r="F211" s="296">
        <f>(F193+F200+F204)/(F182/1000-(F182/1000*($C$203+$C$205+$C$206)))</f>
        <v>289.57850856878184</v>
      </c>
      <c r="G211" s="296">
        <f>(G193+G200+G204)/(G182/1000-(G182/1000*($C$203+$C$205+$C$206)))</f>
        <v>220.86614173228344</v>
      </c>
      <c r="H211" s="296">
        <f>(H193+H200+H204)/(H182/1000-(H182/1000*($C$203+$C$205+$C$206)))</f>
        <v>187.49156355455568</v>
      </c>
      <c r="I211" s="296">
        <f>(I193+I200+I204)/(I182/1000-(I182/1000*($C$203+$C$205+$C$206)))</f>
        <v>168.4203760244255</v>
      </c>
      <c r="J211" s="296">
        <f>(J193+J200+J204)/(J182/1000-(J182/1000*($C$203+$C$205+$C$206)))</f>
        <v>154.1169853768279</v>
      </c>
      <c r="K211" s="297"/>
    </row>
    <row r="212" spans="2:11" ht="12.75">
      <c r="B212" s="65"/>
      <c r="C212" s="65"/>
      <c r="D212" s="65"/>
      <c r="E212" s="65"/>
      <c r="F212" s="65"/>
      <c r="G212" s="65"/>
      <c r="H212" s="65"/>
      <c r="I212" s="65"/>
      <c r="J212" s="65"/>
      <c r="K212" s="65"/>
    </row>
    <row r="213" spans="2:11" ht="12.75">
      <c r="B213" s="65"/>
      <c r="C213" s="65"/>
      <c r="D213" s="65"/>
      <c r="E213" s="65"/>
      <c r="F213" s="65"/>
      <c r="G213" s="65"/>
      <c r="H213" s="65"/>
      <c r="I213" s="65"/>
      <c r="J213" s="65"/>
      <c r="K213" s="65"/>
    </row>
    <row r="214" spans="2:11" ht="12.75">
      <c r="B214" s="65"/>
      <c r="C214" s="65"/>
      <c r="D214" s="65"/>
      <c r="E214" s="65"/>
      <c r="F214" s="65"/>
      <c r="G214" s="65"/>
      <c r="H214" s="65"/>
      <c r="I214" s="65"/>
      <c r="J214" s="65"/>
      <c r="K214" s="65"/>
    </row>
    <row r="215" spans="2:11" ht="12.75">
      <c r="B215" s="65"/>
      <c r="C215" s="65"/>
      <c r="D215" s="65"/>
      <c r="E215" s="65"/>
      <c r="F215" s="65"/>
      <c r="G215" s="65"/>
      <c r="H215" s="65"/>
      <c r="I215" s="65"/>
      <c r="J215" s="65"/>
      <c r="K215" s="65"/>
    </row>
    <row r="216" spans="2:11" ht="12.75">
      <c r="B216" s="65"/>
      <c r="C216" s="65"/>
      <c r="D216" s="65"/>
      <c r="E216" s="65"/>
      <c r="F216" s="65"/>
      <c r="G216" s="65"/>
      <c r="H216" s="65"/>
      <c r="I216" s="65"/>
      <c r="J216" s="65"/>
      <c r="K216" s="65"/>
    </row>
    <row r="217" spans="2:11" ht="12.75">
      <c r="B217" s="65"/>
      <c r="C217" s="65"/>
      <c r="D217" s="65"/>
      <c r="E217" s="65"/>
      <c r="F217" s="65"/>
      <c r="G217" s="65"/>
      <c r="H217" s="65"/>
      <c r="I217" s="65"/>
      <c r="J217" s="65"/>
      <c r="K217" s="65"/>
    </row>
    <row r="218" spans="2:11" ht="12.75">
      <c r="B218" s="65"/>
      <c r="C218" s="65"/>
      <c r="D218" s="65"/>
      <c r="E218" s="65"/>
      <c r="F218" s="65"/>
      <c r="G218" s="65"/>
      <c r="H218" s="65"/>
      <c r="I218" s="65"/>
      <c r="J218" s="65"/>
      <c r="K218" s="65"/>
    </row>
    <row r="219" spans="2:11" ht="12.75">
      <c r="B219" s="65"/>
      <c r="C219" s="65"/>
      <c r="D219" s="65"/>
      <c r="E219" s="65"/>
      <c r="F219" s="65"/>
      <c r="G219" s="65"/>
      <c r="H219" s="65"/>
      <c r="I219" s="65"/>
      <c r="J219" s="65"/>
      <c r="K219" s="65"/>
    </row>
    <row r="220" spans="2:11" ht="12.75">
      <c r="B220" s="65"/>
      <c r="C220" s="65"/>
      <c r="D220" s="65"/>
      <c r="E220" s="65"/>
      <c r="F220" s="65"/>
      <c r="G220" s="65"/>
      <c r="H220" s="65"/>
      <c r="I220" s="65"/>
      <c r="J220" s="65"/>
      <c r="K220" s="65"/>
    </row>
    <row r="221" spans="2:11" ht="12.75">
      <c r="B221" s="65"/>
      <c r="C221" s="65"/>
      <c r="D221" s="65"/>
      <c r="E221" s="65"/>
      <c r="F221" s="65"/>
      <c r="G221" s="65"/>
      <c r="H221" s="65"/>
      <c r="I221" s="65"/>
      <c r="J221" s="65"/>
      <c r="K221" s="65"/>
    </row>
  </sheetData>
  <sheetProtection/>
  <mergeCells count="10">
    <mergeCell ref="A2:K2"/>
    <mergeCell ref="F6:J6"/>
    <mergeCell ref="F36:K36"/>
    <mergeCell ref="F69:K69"/>
    <mergeCell ref="F195:K195"/>
    <mergeCell ref="F104:K104"/>
    <mergeCell ref="B176:K176"/>
    <mergeCell ref="A177:K177"/>
    <mergeCell ref="F181:J181"/>
    <mergeCell ref="F187:K187"/>
  </mergeCell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X677"/>
  <sheetViews>
    <sheetView zoomScalePageLayoutView="0" workbookViewId="0" topLeftCell="A239">
      <selection activeCell="E248" sqref="E248"/>
    </sheetView>
  </sheetViews>
  <sheetFormatPr defaultColWidth="11.421875" defaultRowHeight="12.75"/>
  <cols>
    <col min="1" max="1" width="3.7109375" style="0" customWidth="1"/>
    <col min="2" max="2" width="38.140625" style="0" customWidth="1"/>
    <col min="3" max="3" width="9.57421875" style="0" customWidth="1"/>
    <col min="4" max="4" width="8.28125" style="0" customWidth="1"/>
    <col min="5" max="5" width="13.140625" style="0" customWidth="1"/>
    <col min="6" max="10" width="10.7109375" style="0" customWidth="1"/>
    <col min="11" max="11" width="12.00390625" style="0" customWidth="1"/>
    <col min="13" max="13" width="4.8515625" style="0" customWidth="1"/>
    <col min="14" max="14" width="36.00390625" style="0" customWidth="1"/>
    <col min="15" max="15" width="10.00390625" style="0" customWidth="1"/>
    <col min="16" max="16" width="9.7109375" style="0" customWidth="1"/>
    <col min="17" max="17" width="12.28125" style="0" customWidth="1"/>
  </cols>
  <sheetData>
    <row r="2" spans="1:23" ht="15.75">
      <c r="A2" s="1131" t="s">
        <v>526</v>
      </c>
      <c r="B2" s="1131"/>
      <c r="C2" s="1131"/>
      <c r="D2" s="1131"/>
      <c r="E2" s="1131"/>
      <c r="F2" s="1131"/>
      <c r="G2" s="1131"/>
      <c r="H2" s="1131"/>
      <c r="I2" s="1131"/>
      <c r="J2" s="1131"/>
      <c r="K2" s="1131"/>
      <c r="M2" s="1131" t="s">
        <v>510</v>
      </c>
      <c r="N2" s="1131"/>
      <c r="O2" s="1131"/>
      <c r="P2" s="1131"/>
      <c r="Q2" s="1131"/>
      <c r="R2" s="1131"/>
      <c r="S2" s="1131"/>
      <c r="T2" s="1131"/>
      <c r="U2" s="1131"/>
      <c r="V2" s="1131"/>
      <c r="W2" s="1131"/>
    </row>
    <row r="3" spans="2:18" ht="12.75">
      <c r="B3" s="704" t="s">
        <v>898</v>
      </c>
      <c r="C3" s="705" t="s">
        <v>280</v>
      </c>
      <c r="E3" s="194"/>
      <c r="F3" s="194"/>
      <c r="N3" s="704" t="s">
        <v>898</v>
      </c>
      <c r="O3" s="705" t="s">
        <v>280</v>
      </c>
      <c r="Q3" s="194"/>
      <c r="R3" s="194"/>
    </row>
    <row r="4" spans="2:17" ht="12.75">
      <c r="B4" s="706" t="s">
        <v>899</v>
      </c>
      <c r="C4" s="707">
        <v>120</v>
      </c>
      <c r="E4" s="196"/>
      <c r="N4" s="706" t="s">
        <v>899</v>
      </c>
      <c r="O4" s="158">
        <v>120</v>
      </c>
      <c r="Q4" s="196" t="s">
        <v>281</v>
      </c>
    </row>
    <row r="5" spans="1:22" ht="10.5" customHeight="1" thickBot="1">
      <c r="A5" s="157"/>
      <c r="B5" s="197"/>
      <c r="C5" s="197"/>
      <c r="D5" s="197"/>
      <c r="F5" s="1142" t="s">
        <v>282</v>
      </c>
      <c r="G5" s="1142"/>
      <c r="H5" s="1142"/>
      <c r="I5" s="1142"/>
      <c r="J5" s="1142"/>
      <c r="N5" s="197"/>
      <c r="O5" s="197"/>
      <c r="P5" s="197"/>
      <c r="R5" s="180"/>
      <c r="S5" s="161" t="s">
        <v>327</v>
      </c>
      <c r="T5" s="318">
        <v>0.85</v>
      </c>
      <c r="U5" s="157"/>
      <c r="V5" s="157"/>
    </row>
    <row r="6" spans="1:23" ht="10.5" customHeight="1" thickBot="1">
      <c r="A6" s="157"/>
      <c r="B6" s="708" t="s">
        <v>901</v>
      </c>
      <c r="C6" s="709"/>
      <c r="D6" s="201" t="s">
        <v>902</v>
      </c>
      <c r="F6" s="1143" t="s">
        <v>373</v>
      </c>
      <c r="G6" s="1144"/>
      <c r="H6" s="1144"/>
      <c r="I6" s="1144"/>
      <c r="J6" s="1145"/>
      <c r="K6" s="219" t="s">
        <v>904</v>
      </c>
      <c r="N6" s="710" t="s">
        <v>901</v>
      </c>
      <c r="O6" s="200"/>
      <c r="P6" s="711" t="s">
        <v>902</v>
      </c>
      <c r="R6" s="1132" t="s">
        <v>903</v>
      </c>
      <c r="S6" s="1133"/>
      <c r="T6" s="1133"/>
      <c r="U6" s="1133"/>
      <c r="V6" s="1134"/>
      <c r="W6" s="712" t="s">
        <v>904</v>
      </c>
    </row>
    <row r="7" spans="2:23" ht="12" customHeight="1">
      <c r="B7" s="713"/>
      <c r="C7" s="714"/>
      <c r="D7" s="206" t="s">
        <v>905</v>
      </c>
      <c r="F7" s="715">
        <v>1800</v>
      </c>
      <c r="G7" s="716">
        <v>1900</v>
      </c>
      <c r="H7" s="715">
        <v>2500</v>
      </c>
      <c r="I7" s="717">
        <v>2800</v>
      </c>
      <c r="J7" s="718">
        <v>3000</v>
      </c>
      <c r="K7" s="717">
        <v>2754</v>
      </c>
      <c r="N7" s="204"/>
      <c r="O7" s="205"/>
      <c r="P7" s="719" t="s">
        <v>905</v>
      </c>
      <c r="R7" s="207">
        <v>1800</v>
      </c>
      <c r="S7" s="208">
        <v>2200</v>
      </c>
      <c r="T7" s="207">
        <v>2500</v>
      </c>
      <c r="U7" s="209">
        <v>2800</v>
      </c>
      <c r="V7" s="210">
        <v>3000</v>
      </c>
      <c r="W7" s="159">
        <v>2350</v>
      </c>
    </row>
    <row r="8" spans="2:22" ht="12" customHeight="1">
      <c r="B8" s="180" t="s">
        <v>906</v>
      </c>
      <c r="C8" s="211"/>
      <c r="D8" s="720">
        <v>170</v>
      </c>
      <c r="F8" s="213"/>
      <c r="G8" s="721"/>
      <c r="H8" s="215"/>
      <c r="I8" s="215"/>
      <c r="J8" s="214"/>
      <c r="N8" s="180" t="s">
        <v>906</v>
      </c>
      <c r="O8" s="211"/>
      <c r="P8" s="212">
        <v>162.5</v>
      </c>
      <c r="R8" s="213"/>
      <c r="S8" s="214"/>
      <c r="T8" s="215"/>
      <c r="U8" s="215"/>
      <c r="V8" s="214"/>
    </row>
    <row r="9" spans="2:23" ht="12" customHeight="1">
      <c r="B9" s="216" t="s">
        <v>907</v>
      </c>
      <c r="C9" s="217"/>
      <c r="D9" s="218"/>
      <c r="F9" s="264">
        <f aca="true" t="shared" si="0" ref="F9:K9">($D$8*F7)/1000</f>
        <v>306</v>
      </c>
      <c r="G9" s="722">
        <f t="shared" si="0"/>
        <v>323</v>
      </c>
      <c r="H9" s="264">
        <f t="shared" si="0"/>
        <v>425</v>
      </c>
      <c r="I9" s="264">
        <f t="shared" si="0"/>
        <v>476</v>
      </c>
      <c r="J9" s="264">
        <f t="shared" si="0"/>
        <v>510</v>
      </c>
      <c r="K9" s="264">
        <f t="shared" si="0"/>
        <v>468.18</v>
      </c>
      <c r="N9" s="216" t="s">
        <v>907</v>
      </c>
      <c r="O9" s="217"/>
      <c r="P9" s="218"/>
      <c r="R9" s="264">
        <f aca="true" t="shared" si="1" ref="R9:W9">R7*$P$8*$T$5/1000</f>
        <v>248.625</v>
      </c>
      <c r="S9" s="264">
        <f t="shared" si="1"/>
        <v>303.875</v>
      </c>
      <c r="T9" s="264">
        <f t="shared" si="1"/>
        <v>345.3125</v>
      </c>
      <c r="U9" s="264">
        <f t="shared" si="1"/>
        <v>386.75</v>
      </c>
      <c r="V9" s="264">
        <f t="shared" si="1"/>
        <v>414.375</v>
      </c>
      <c r="W9" s="264">
        <f t="shared" si="1"/>
        <v>324.59375</v>
      </c>
    </row>
    <row r="10" spans="2:22" ht="12" customHeight="1" thickBot="1">
      <c r="B10" s="216" t="s">
        <v>908</v>
      </c>
      <c r="C10" s="217"/>
      <c r="D10" s="220"/>
      <c r="F10" s="221"/>
      <c r="G10" s="723"/>
      <c r="J10" s="65"/>
      <c r="N10" s="216" t="s">
        <v>908</v>
      </c>
      <c r="O10" s="217"/>
      <c r="P10" s="220"/>
      <c r="R10" s="221"/>
      <c r="S10" s="222"/>
      <c r="V10" s="65"/>
    </row>
    <row r="11" spans="2:22" ht="12" customHeight="1" thickBot="1">
      <c r="B11" s="724" t="s">
        <v>909</v>
      </c>
      <c r="C11" s="164">
        <v>18</v>
      </c>
      <c r="G11" s="725"/>
      <c r="J11" s="65"/>
      <c r="N11" s="724" t="s">
        <v>909</v>
      </c>
      <c r="O11" s="164">
        <v>14</v>
      </c>
      <c r="S11" s="224"/>
      <c r="V11" s="65"/>
    </row>
    <row r="12" spans="1:23" ht="12" customHeight="1" thickBot="1">
      <c r="A12" s="161" t="s">
        <v>864</v>
      </c>
      <c r="B12" s="227" t="s">
        <v>1118</v>
      </c>
      <c r="C12" s="227" t="s">
        <v>817</v>
      </c>
      <c r="D12" s="219" t="s">
        <v>910</v>
      </c>
      <c r="E12" s="219" t="s">
        <v>911</v>
      </c>
      <c r="F12" s="1146" t="s">
        <v>912</v>
      </c>
      <c r="G12" s="1147"/>
      <c r="H12" s="1147"/>
      <c r="I12" s="1147"/>
      <c r="J12" s="1147"/>
      <c r="K12" s="1148"/>
      <c r="M12" s="161" t="s">
        <v>864</v>
      </c>
      <c r="N12" s="726" t="s">
        <v>1118</v>
      </c>
      <c r="O12" s="227" t="s">
        <v>817</v>
      </c>
      <c r="P12" s="219" t="s">
        <v>910</v>
      </c>
      <c r="Q12" s="727" t="s">
        <v>911</v>
      </c>
      <c r="R12" s="1135" t="s">
        <v>912</v>
      </c>
      <c r="S12" s="1136"/>
      <c r="T12" s="1136"/>
      <c r="U12" s="1136"/>
      <c r="V12" s="1136"/>
      <c r="W12" s="1137"/>
    </row>
    <row r="13" spans="1:23" ht="12" customHeight="1">
      <c r="A13" s="161">
        <v>7</v>
      </c>
      <c r="B13" s="234" t="str">
        <f aca="true" t="shared" si="2" ref="B13:B20">IF($A13&lt;&gt;0,VLOOKUP($A13,equi,2),"")</f>
        <v>Cincel  ( 1º Pasada )</v>
      </c>
      <c r="C13" s="728">
        <v>1</v>
      </c>
      <c r="D13" s="235">
        <f aca="true" t="shared" si="3" ref="D13:D20">IF($A13&lt;&gt;0,VLOOKUP($A13,equi,3),"")</f>
        <v>0.95</v>
      </c>
      <c r="E13" s="265">
        <f aca="true" t="shared" si="4" ref="E13:E20">D13*$C$11</f>
        <v>17.099999999999998</v>
      </c>
      <c r="F13" s="729">
        <f aca="true" t="shared" si="5" ref="F13:K20">$C13*$E13</f>
        <v>17.099999999999998</v>
      </c>
      <c r="G13" s="730">
        <f t="shared" si="5"/>
        <v>17.099999999999998</v>
      </c>
      <c r="H13" s="729">
        <f t="shared" si="5"/>
        <v>17.099999999999998</v>
      </c>
      <c r="I13" s="729">
        <f t="shared" si="5"/>
        <v>17.099999999999998</v>
      </c>
      <c r="J13" s="729">
        <f t="shared" si="5"/>
        <v>17.099999999999998</v>
      </c>
      <c r="K13" s="729">
        <f t="shared" si="5"/>
        <v>17.099999999999998</v>
      </c>
      <c r="M13" s="161">
        <v>7</v>
      </c>
      <c r="N13" s="234" t="str">
        <f aca="true" t="shared" si="6" ref="N13:N20">IF($M13&lt;&gt;0,VLOOKUP($M13,equi,2),"")</f>
        <v>Cincel  ( 1º Pasada )</v>
      </c>
      <c r="O13" s="227">
        <v>1</v>
      </c>
      <c r="P13" s="235">
        <f aca="true" t="shared" si="7" ref="P13:P20">IF($M13&lt;&gt;0,VLOOKUP($M13,equi,3),"")</f>
        <v>0.95</v>
      </c>
      <c r="Q13" s="165">
        <f>$P13*$O$11</f>
        <v>13.299999999999999</v>
      </c>
      <c r="R13" s="731">
        <f aca="true" t="shared" si="8" ref="R13:W20">$Q13*$O13</f>
        <v>13.299999999999999</v>
      </c>
      <c r="S13" s="731">
        <f t="shared" si="8"/>
        <v>13.299999999999999</v>
      </c>
      <c r="T13" s="731">
        <f t="shared" si="8"/>
        <v>13.299999999999999</v>
      </c>
      <c r="U13" s="731">
        <f t="shared" si="8"/>
        <v>13.299999999999999</v>
      </c>
      <c r="V13" s="731">
        <f t="shared" si="8"/>
        <v>13.299999999999999</v>
      </c>
      <c r="W13" s="731">
        <f t="shared" si="8"/>
        <v>13.299999999999999</v>
      </c>
    </row>
    <row r="14" spans="1:23" ht="12" customHeight="1">
      <c r="A14" s="161">
        <v>5</v>
      </c>
      <c r="B14" s="234" t="str">
        <f t="shared" si="2"/>
        <v>Disco Doble Acción</v>
      </c>
      <c r="C14" s="728">
        <v>1</v>
      </c>
      <c r="D14" s="235">
        <f t="shared" si="3"/>
        <v>0.5</v>
      </c>
      <c r="E14" s="265">
        <f t="shared" si="4"/>
        <v>9</v>
      </c>
      <c r="F14" s="729">
        <f t="shared" si="5"/>
        <v>9</v>
      </c>
      <c r="G14" s="730">
        <f t="shared" si="5"/>
        <v>9</v>
      </c>
      <c r="H14" s="729">
        <f t="shared" si="5"/>
        <v>9</v>
      </c>
      <c r="I14" s="729">
        <f t="shared" si="5"/>
        <v>9</v>
      </c>
      <c r="J14" s="729">
        <f t="shared" si="5"/>
        <v>9</v>
      </c>
      <c r="K14" s="729">
        <f t="shared" si="5"/>
        <v>9</v>
      </c>
      <c r="M14" s="161">
        <v>5</v>
      </c>
      <c r="N14" s="234" t="str">
        <f t="shared" si="6"/>
        <v>Disco Doble Acción</v>
      </c>
      <c r="O14" s="227">
        <v>1</v>
      </c>
      <c r="P14" s="235">
        <f t="shared" si="7"/>
        <v>0.5</v>
      </c>
      <c r="Q14" s="165">
        <f aca="true" t="shared" si="9" ref="Q14:Q20">$P14*$O$11</f>
        <v>7</v>
      </c>
      <c r="R14" s="165">
        <f t="shared" si="8"/>
        <v>7</v>
      </c>
      <c r="S14" s="165">
        <f t="shared" si="8"/>
        <v>7</v>
      </c>
      <c r="T14" s="165">
        <f t="shared" si="8"/>
        <v>7</v>
      </c>
      <c r="U14" s="165">
        <f t="shared" si="8"/>
        <v>7</v>
      </c>
      <c r="V14" s="165">
        <f t="shared" si="8"/>
        <v>7</v>
      </c>
      <c r="W14" s="165">
        <f t="shared" si="8"/>
        <v>7</v>
      </c>
    </row>
    <row r="15" spans="1:23" ht="12" customHeight="1">
      <c r="A15" s="161">
        <v>6</v>
      </c>
      <c r="B15" s="234" t="str">
        <f t="shared" si="2"/>
        <v>Disco Doble Acción más Rastra de Dientes</v>
      </c>
      <c r="C15" s="728">
        <v>1</v>
      </c>
      <c r="D15" s="235">
        <f t="shared" si="3"/>
        <v>0.65</v>
      </c>
      <c r="E15" s="265">
        <f t="shared" si="4"/>
        <v>11.700000000000001</v>
      </c>
      <c r="F15" s="729">
        <f t="shared" si="5"/>
        <v>11.700000000000001</v>
      </c>
      <c r="G15" s="730">
        <f t="shared" si="5"/>
        <v>11.700000000000001</v>
      </c>
      <c r="H15" s="729">
        <f t="shared" si="5"/>
        <v>11.700000000000001</v>
      </c>
      <c r="I15" s="729">
        <f t="shared" si="5"/>
        <v>11.700000000000001</v>
      </c>
      <c r="J15" s="729">
        <f t="shared" si="5"/>
        <v>11.700000000000001</v>
      </c>
      <c r="K15" s="729">
        <f t="shared" si="5"/>
        <v>11.700000000000001</v>
      </c>
      <c r="M15" s="161">
        <v>6</v>
      </c>
      <c r="N15" s="234" t="str">
        <f t="shared" si="6"/>
        <v>Disco Doble Acción más Rastra de Dientes</v>
      </c>
      <c r="O15" s="227">
        <v>1</v>
      </c>
      <c r="P15" s="235">
        <f t="shared" si="7"/>
        <v>0.65</v>
      </c>
      <c r="Q15" s="165">
        <f t="shared" si="9"/>
        <v>9.1</v>
      </c>
      <c r="R15" s="165">
        <f t="shared" si="8"/>
        <v>9.1</v>
      </c>
      <c r="S15" s="165">
        <f t="shared" si="8"/>
        <v>9.1</v>
      </c>
      <c r="T15" s="165">
        <f t="shared" si="8"/>
        <v>9.1</v>
      </c>
      <c r="U15" s="165">
        <f t="shared" si="8"/>
        <v>9.1</v>
      </c>
      <c r="V15" s="165">
        <f t="shared" si="8"/>
        <v>9.1</v>
      </c>
      <c r="W15" s="165">
        <f t="shared" si="8"/>
        <v>9.1</v>
      </c>
    </row>
    <row r="16" spans="1:23" ht="12" customHeight="1">
      <c r="A16" s="191">
        <v>11</v>
      </c>
      <c r="B16" s="234" t="str">
        <f t="shared" si="2"/>
        <v>Cultivador de Campo</v>
      </c>
      <c r="C16" s="232">
        <v>1</v>
      </c>
      <c r="D16" s="235">
        <f t="shared" si="3"/>
        <v>0.45</v>
      </c>
      <c r="E16" s="265">
        <f t="shared" si="4"/>
        <v>8.1</v>
      </c>
      <c r="F16" s="729">
        <f t="shared" si="5"/>
        <v>8.1</v>
      </c>
      <c r="G16" s="730">
        <f t="shared" si="5"/>
        <v>8.1</v>
      </c>
      <c r="H16" s="729">
        <f t="shared" si="5"/>
        <v>8.1</v>
      </c>
      <c r="I16" s="729">
        <f t="shared" si="5"/>
        <v>8.1</v>
      </c>
      <c r="J16" s="729">
        <f t="shared" si="5"/>
        <v>8.1</v>
      </c>
      <c r="K16" s="729">
        <f t="shared" si="5"/>
        <v>8.1</v>
      </c>
      <c r="M16" s="225">
        <v>11</v>
      </c>
      <c r="N16" s="234" t="str">
        <f t="shared" si="6"/>
        <v>Cultivador de Campo</v>
      </c>
      <c r="O16" s="232">
        <v>1</v>
      </c>
      <c r="P16" s="235">
        <f t="shared" si="7"/>
        <v>0.45</v>
      </c>
      <c r="Q16" s="165">
        <f t="shared" si="9"/>
        <v>6.3</v>
      </c>
      <c r="R16" s="165">
        <f t="shared" si="8"/>
        <v>6.3</v>
      </c>
      <c r="S16" s="165">
        <f t="shared" si="8"/>
        <v>6.3</v>
      </c>
      <c r="T16" s="165">
        <f t="shared" si="8"/>
        <v>6.3</v>
      </c>
      <c r="U16" s="165">
        <f t="shared" si="8"/>
        <v>6.3</v>
      </c>
      <c r="V16" s="165">
        <f t="shared" si="8"/>
        <v>6.3</v>
      </c>
      <c r="W16" s="165">
        <f t="shared" si="8"/>
        <v>6.3</v>
      </c>
    </row>
    <row r="17" spans="1:23" ht="12" customHeight="1">
      <c r="A17" s="191">
        <v>17</v>
      </c>
      <c r="B17" s="234" t="str">
        <f t="shared" si="2"/>
        <v>Siembra Gruesa Conv- más Inoculación</v>
      </c>
      <c r="C17" s="232">
        <v>1</v>
      </c>
      <c r="D17" s="235">
        <f t="shared" si="3"/>
        <v>0.5</v>
      </c>
      <c r="E17" s="265">
        <f t="shared" si="4"/>
        <v>9</v>
      </c>
      <c r="F17" s="729">
        <f t="shared" si="5"/>
        <v>9</v>
      </c>
      <c r="G17" s="730">
        <f t="shared" si="5"/>
        <v>9</v>
      </c>
      <c r="H17" s="729">
        <f t="shared" si="5"/>
        <v>9</v>
      </c>
      <c r="I17" s="729">
        <f t="shared" si="5"/>
        <v>9</v>
      </c>
      <c r="J17" s="729">
        <f t="shared" si="5"/>
        <v>9</v>
      </c>
      <c r="K17" s="729">
        <f t="shared" si="5"/>
        <v>9</v>
      </c>
      <c r="M17" s="225">
        <v>17</v>
      </c>
      <c r="N17" s="234" t="str">
        <f t="shared" si="6"/>
        <v>Siembra Gruesa Conv- más Inoculación</v>
      </c>
      <c r="O17" s="232">
        <v>1</v>
      </c>
      <c r="P17" s="235">
        <f t="shared" si="7"/>
        <v>0.5</v>
      </c>
      <c r="Q17" s="165">
        <f t="shared" si="9"/>
        <v>7</v>
      </c>
      <c r="R17" s="165">
        <f t="shared" si="8"/>
        <v>7</v>
      </c>
      <c r="S17" s="165">
        <f t="shared" si="8"/>
        <v>7</v>
      </c>
      <c r="T17" s="165">
        <f t="shared" si="8"/>
        <v>7</v>
      </c>
      <c r="U17" s="165">
        <f t="shared" si="8"/>
        <v>7</v>
      </c>
      <c r="V17" s="165">
        <f t="shared" si="8"/>
        <v>7</v>
      </c>
      <c r="W17" s="165">
        <f t="shared" si="8"/>
        <v>7</v>
      </c>
    </row>
    <row r="18" spans="1:23" ht="12" customHeight="1">
      <c r="A18" s="191">
        <v>22</v>
      </c>
      <c r="B18" s="234" t="str">
        <f t="shared" si="2"/>
        <v>Pulverización Terrestre p/Herbicidas y Defoliantes</v>
      </c>
      <c r="C18" s="232">
        <v>1</v>
      </c>
      <c r="D18" s="235">
        <f t="shared" si="3"/>
        <v>0.25</v>
      </c>
      <c r="E18" s="265">
        <f t="shared" si="4"/>
        <v>4.5</v>
      </c>
      <c r="F18" s="729">
        <f t="shared" si="5"/>
        <v>4.5</v>
      </c>
      <c r="G18" s="730">
        <f t="shared" si="5"/>
        <v>4.5</v>
      </c>
      <c r="H18" s="729">
        <f t="shared" si="5"/>
        <v>4.5</v>
      </c>
      <c r="I18" s="729">
        <f t="shared" si="5"/>
        <v>4.5</v>
      </c>
      <c r="J18" s="729">
        <f t="shared" si="5"/>
        <v>4.5</v>
      </c>
      <c r="K18" s="729">
        <f t="shared" si="5"/>
        <v>4.5</v>
      </c>
      <c r="M18" s="225">
        <v>22</v>
      </c>
      <c r="N18" s="234" t="str">
        <f t="shared" si="6"/>
        <v>Pulverización Terrestre p/Herbicidas y Defoliantes</v>
      </c>
      <c r="O18" s="232">
        <v>1</v>
      </c>
      <c r="P18" s="235">
        <f t="shared" si="7"/>
        <v>0.25</v>
      </c>
      <c r="Q18" s="165">
        <f t="shared" si="9"/>
        <v>3.5</v>
      </c>
      <c r="R18" s="165">
        <f t="shared" si="8"/>
        <v>3.5</v>
      </c>
      <c r="S18" s="165">
        <f t="shared" si="8"/>
        <v>3.5</v>
      </c>
      <c r="T18" s="165">
        <f t="shared" si="8"/>
        <v>3.5</v>
      </c>
      <c r="U18" s="165">
        <f t="shared" si="8"/>
        <v>3.5</v>
      </c>
      <c r="V18" s="165">
        <f t="shared" si="8"/>
        <v>3.5</v>
      </c>
      <c r="W18" s="165">
        <f t="shared" si="8"/>
        <v>3.5</v>
      </c>
    </row>
    <row r="19" spans="1:23" ht="12" customHeight="1">
      <c r="A19" s="191">
        <v>23</v>
      </c>
      <c r="B19" s="234" t="str">
        <f t="shared" si="2"/>
        <v>Pulverización Terrestre p/Insecticidas</v>
      </c>
      <c r="C19" s="232">
        <v>3</v>
      </c>
      <c r="D19" s="235">
        <f t="shared" si="3"/>
        <v>0.3</v>
      </c>
      <c r="E19" s="265">
        <f t="shared" si="4"/>
        <v>5.3999999999999995</v>
      </c>
      <c r="F19" s="729">
        <f t="shared" si="5"/>
        <v>16.2</v>
      </c>
      <c r="G19" s="730">
        <f t="shared" si="5"/>
        <v>16.2</v>
      </c>
      <c r="H19" s="729">
        <f t="shared" si="5"/>
        <v>16.2</v>
      </c>
      <c r="I19" s="729">
        <f t="shared" si="5"/>
        <v>16.2</v>
      </c>
      <c r="J19" s="729">
        <f t="shared" si="5"/>
        <v>16.2</v>
      </c>
      <c r="K19" s="729">
        <f t="shared" si="5"/>
        <v>16.2</v>
      </c>
      <c r="M19" s="225">
        <v>23</v>
      </c>
      <c r="N19" s="234" t="str">
        <f t="shared" si="6"/>
        <v>Pulverización Terrestre p/Insecticidas</v>
      </c>
      <c r="O19" s="232">
        <v>3</v>
      </c>
      <c r="P19" s="235">
        <f t="shared" si="7"/>
        <v>0.3</v>
      </c>
      <c r="Q19" s="165">
        <f t="shared" si="9"/>
        <v>4.2</v>
      </c>
      <c r="R19" s="165">
        <f t="shared" si="8"/>
        <v>12.600000000000001</v>
      </c>
      <c r="S19" s="165">
        <f t="shared" si="8"/>
        <v>12.600000000000001</v>
      </c>
      <c r="T19" s="165">
        <f t="shared" si="8"/>
        <v>12.600000000000001</v>
      </c>
      <c r="U19" s="165">
        <f t="shared" si="8"/>
        <v>12.600000000000001</v>
      </c>
      <c r="V19" s="165">
        <f t="shared" si="8"/>
        <v>12.600000000000001</v>
      </c>
      <c r="W19" s="165">
        <f t="shared" si="8"/>
        <v>12.600000000000001</v>
      </c>
    </row>
    <row r="20" spans="1:23" ht="12" customHeight="1">
      <c r="A20" s="191">
        <v>20</v>
      </c>
      <c r="B20" s="234" t="str">
        <f t="shared" si="2"/>
        <v>Escardillo</v>
      </c>
      <c r="C20" s="232">
        <v>1</v>
      </c>
      <c r="D20" s="235">
        <f t="shared" si="3"/>
        <v>0.4</v>
      </c>
      <c r="E20" s="265">
        <f t="shared" si="4"/>
        <v>7.2</v>
      </c>
      <c r="F20" s="729">
        <f t="shared" si="5"/>
        <v>7.2</v>
      </c>
      <c r="G20" s="730">
        <f t="shared" si="5"/>
        <v>7.2</v>
      </c>
      <c r="H20" s="729">
        <f t="shared" si="5"/>
        <v>7.2</v>
      </c>
      <c r="I20" s="729">
        <f t="shared" si="5"/>
        <v>7.2</v>
      </c>
      <c r="J20" s="729">
        <f t="shared" si="5"/>
        <v>7.2</v>
      </c>
      <c r="K20" s="729">
        <f t="shared" si="5"/>
        <v>7.2</v>
      </c>
      <c r="M20" s="225">
        <v>20</v>
      </c>
      <c r="N20" s="234" t="str">
        <f t="shared" si="6"/>
        <v>Escardillo</v>
      </c>
      <c r="O20" s="232">
        <v>1</v>
      </c>
      <c r="P20" s="235">
        <f t="shared" si="7"/>
        <v>0.4</v>
      </c>
      <c r="Q20" s="165">
        <f t="shared" si="9"/>
        <v>5.6000000000000005</v>
      </c>
      <c r="R20" s="165">
        <f t="shared" si="8"/>
        <v>5.6000000000000005</v>
      </c>
      <c r="S20" s="165">
        <f t="shared" si="8"/>
        <v>5.6000000000000005</v>
      </c>
      <c r="T20" s="165">
        <f t="shared" si="8"/>
        <v>5.6000000000000005</v>
      </c>
      <c r="U20" s="165">
        <f t="shared" si="8"/>
        <v>5.6000000000000005</v>
      </c>
      <c r="V20" s="165">
        <f t="shared" si="8"/>
        <v>5.6000000000000005</v>
      </c>
      <c r="W20" s="165">
        <f t="shared" si="8"/>
        <v>5.6000000000000005</v>
      </c>
    </row>
    <row r="21" spans="1:23" ht="12" customHeight="1">
      <c r="A21" s="191"/>
      <c r="B21" s="166" t="s">
        <v>913</v>
      </c>
      <c r="C21" s="166"/>
      <c r="D21" s="268"/>
      <c r="E21" s="732"/>
      <c r="F21" s="239">
        <f aca="true" t="shared" si="10" ref="F21:K21">SUM(F13:F20)</f>
        <v>82.8</v>
      </c>
      <c r="G21" s="733">
        <f t="shared" si="10"/>
        <v>82.8</v>
      </c>
      <c r="H21" s="239">
        <f t="shared" si="10"/>
        <v>82.8</v>
      </c>
      <c r="I21" s="239">
        <f t="shared" si="10"/>
        <v>82.8</v>
      </c>
      <c r="J21" s="239">
        <f t="shared" si="10"/>
        <v>82.8</v>
      </c>
      <c r="K21" s="239">
        <f t="shared" si="10"/>
        <v>82.8</v>
      </c>
      <c r="M21" s="225"/>
      <c r="N21" s="166" t="s">
        <v>913</v>
      </c>
      <c r="O21" s="166"/>
      <c r="P21" s="236"/>
      <c r="Q21" s="237"/>
      <c r="R21" s="238">
        <f aca="true" t="shared" si="11" ref="R21:W21">SUM(R13:R20)</f>
        <v>64.39999999999999</v>
      </c>
      <c r="S21" s="238">
        <f t="shared" si="11"/>
        <v>64.39999999999999</v>
      </c>
      <c r="T21" s="238">
        <f t="shared" si="11"/>
        <v>64.39999999999999</v>
      </c>
      <c r="U21" s="238">
        <f t="shared" si="11"/>
        <v>64.39999999999999</v>
      </c>
      <c r="V21" s="238">
        <f t="shared" si="11"/>
        <v>64.39999999999999</v>
      </c>
      <c r="W21" s="238">
        <f t="shared" si="11"/>
        <v>64.39999999999999</v>
      </c>
    </row>
    <row r="22" spans="1:23" ht="12" customHeight="1" thickBot="1">
      <c r="A22" s="191"/>
      <c r="B22" s="734"/>
      <c r="C22" s="166" t="s">
        <v>817</v>
      </c>
      <c r="D22" s="219" t="s">
        <v>915</v>
      </c>
      <c r="E22" s="735" t="s">
        <v>916</v>
      </c>
      <c r="F22" s="1149" t="s">
        <v>912</v>
      </c>
      <c r="G22" s="1150"/>
      <c r="H22" s="1150"/>
      <c r="I22" s="1150"/>
      <c r="J22" s="1150"/>
      <c r="K22" s="1151"/>
      <c r="M22" s="191"/>
      <c r="N22" s="166"/>
      <c r="O22" s="170"/>
      <c r="P22" s="241"/>
      <c r="Q22" s="157"/>
      <c r="R22" s="242"/>
      <c r="S22" s="243"/>
      <c r="T22" s="157"/>
      <c r="U22" s="157"/>
      <c r="V22" s="244"/>
      <c r="W22" s="244"/>
    </row>
    <row r="23" spans="1:23" ht="12" customHeight="1" thickBot="1">
      <c r="A23" s="191"/>
      <c r="B23" s="162" t="s">
        <v>326</v>
      </c>
      <c r="C23" s="163">
        <v>70</v>
      </c>
      <c r="D23" s="164">
        <v>0.49</v>
      </c>
      <c r="E23" s="277">
        <f aca="true" t="shared" si="12" ref="E23:E28">1*D23</f>
        <v>0.49</v>
      </c>
      <c r="F23" s="729">
        <f aca="true" t="shared" si="13" ref="F23:K28">$C23*$E23</f>
        <v>34.3</v>
      </c>
      <c r="G23" s="730">
        <f t="shared" si="13"/>
        <v>34.3</v>
      </c>
      <c r="H23" s="729">
        <f t="shared" si="13"/>
        <v>34.3</v>
      </c>
      <c r="I23" s="729">
        <f t="shared" si="13"/>
        <v>34.3</v>
      </c>
      <c r="J23" s="729">
        <f t="shared" si="13"/>
        <v>34.3</v>
      </c>
      <c r="K23" s="729">
        <f t="shared" si="13"/>
        <v>34.3</v>
      </c>
      <c r="M23" s="191"/>
      <c r="N23" s="166"/>
      <c r="O23" s="170" t="s">
        <v>817</v>
      </c>
      <c r="P23" s="245" t="s">
        <v>915</v>
      </c>
      <c r="Q23" s="245" t="s">
        <v>916</v>
      </c>
      <c r="R23" s="1135" t="s">
        <v>912</v>
      </c>
      <c r="S23" s="1136"/>
      <c r="T23" s="1136"/>
      <c r="U23" s="1136"/>
      <c r="V23" s="1136"/>
      <c r="W23" s="1137"/>
    </row>
    <row r="24" spans="1:23" ht="12" customHeight="1">
      <c r="A24" s="191"/>
      <c r="B24" s="162" t="s">
        <v>283</v>
      </c>
      <c r="C24" s="163">
        <v>0.8</v>
      </c>
      <c r="D24" s="164">
        <v>40.5</v>
      </c>
      <c r="E24" s="277">
        <f t="shared" si="12"/>
        <v>40.5</v>
      </c>
      <c r="F24" s="278">
        <f t="shared" si="13"/>
        <v>32.4</v>
      </c>
      <c r="G24" s="736">
        <f t="shared" si="13"/>
        <v>32.4</v>
      </c>
      <c r="H24" s="278">
        <f t="shared" si="13"/>
        <v>32.4</v>
      </c>
      <c r="I24" s="278">
        <f t="shared" si="13"/>
        <v>32.4</v>
      </c>
      <c r="J24" s="278">
        <f t="shared" si="13"/>
        <v>32.4</v>
      </c>
      <c r="K24" s="278">
        <f t="shared" si="13"/>
        <v>32.4</v>
      </c>
      <c r="M24" s="191"/>
      <c r="N24" s="162" t="s">
        <v>818</v>
      </c>
      <c r="O24" s="163">
        <v>70</v>
      </c>
      <c r="P24" s="164">
        <v>0.49</v>
      </c>
      <c r="Q24" s="246">
        <f aca="true" t="shared" si="14" ref="Q24:Q29">1*P24</f>
        <v>0.49</v>
      </c>
      <c r="R24" s="247">
        <f aca="true" t="shared" si="15" ref="R24:W29">$O24*$Q24</f>
        <v>34.3</v>
      </c>
      <c r="S24" s="247">
        <f t="shared" si="15"/>
        <v>34.3</v>
      </c>
      <c r="T24" s="247">
        <f t="shared" si="15"/>
        <v>34.3</v>
      </c>
      <c r="U24" s="247">
        <f t="shared" si="15"/>
        <v>34.3</v>
      </c>
      <c r="V24" s="247">
        <f t="shared" si="15"/>
        <v>34.3</v>
      </c>
      <c r="W24" s="247">
        <f t="shared" si="15"/>
        <v>34.3</v>
      </c>
    </row>
    <row r="25" spans="1:23" ht="12" customHeight="1">
      <c r="A25" s="191"/>
      <c r="B25" s="162" t="s">
        <v>819</v>
      </c>
      <c r="C25" s="163">
        <v>2</v>
      </c>
      <c r="D25" s="164">
        <v>3.5</v>
      </c>
      <c r="E25" s="277">
        <f t="shared" si="12"/>
        <v>3.5</v>
      </c>
      <c r="F25" s="278">
        <f t="shared" si="13"/>
        <v>7</v>
      </c>
      <c r="G25" s="736">
        <f t="shared" si="13"/>
        <v>7</v>
      </c>
      <c r="H25" s="278">
        <f t="shared" si="13"/>
        <v>7</v>
      </c>
      <c r="I25" s="278">
        <f t="shared" si="13"/>
        <v>7</v>
      </c>
      <c r="J25" s="278">
        <f t="shared" si="13"/>
        <v>7</v>
      </c>
      <c r="K25" s="278">
        <f t="shared" si="13"/>
        <v>7</v>
      </c>
      <c r="M25" s="191"/>
      <c r="N25" s="162" t="s">
        <v>283</v>
      </c>
      <c r="O25" s="163">
        <v>0.8</v>
      </c>
      <c r="P25" s="164">
        <v>40.5</v>
      </c>
      <c r="Q25" s="246">
        <f t="shared" si="14"/>
        <v>40.5</v>
      </c>
      <c r="R25" s="247">
        <f t="shared" si="15"/>
        <v>32.4</v>
      </c>
      <c r="S25" s="247">
        <f t="shared" si="15"/>
        <v>32.4</v>
      </c>
      <c r="T25" s="247">
        <f t="shared" si="15"/>
        <v>32.4</v>
      </c>
      <c r="U25" s="247">
        <f t="shared" si="15"/>
        <v>32.4</v>
      </c>
      <c r="V25" s="247">
        <f t="shared" si="15"/>
        <v>32.4</v>
      </c>
      <c r="W25" s="247">
        <f t="shared" si="15"/>
        <v>32.4</v>
      </c>
    </row>
    <row r="26" spans="1:23" ht="12" customHeight="1">
      <c r="A26" s="191"/>
      <c r="B26" s="162" t="s">
        <v>820</v>
      </c>
      <c r="C26" s="163">
        <v>1.8</v>
      </c>
      <c r="D26" s="164">
        <v>6.28</v>
      </c>
      <c r="E26" s="277">
        <f t="shared" si="12"/>
        <v>6.28</v>
      </c>
      <c r="F26" s="278">
        <f t="shared" si="13"/>
        <v>11.304</v>
      </c>
      <c r="G26" s="736">
        <f t="shared" si="13"/>
        <v>11.304</v>
      </c>
      <c r="H26" s="278">
        <f t="shared" si="13"/>
        <v>11.304</v>
      </c>
      <c r="I26" s="278">
        <f t="shared" si="13"/>
        <v>11.304</v>
      </c>
      <c r="J26" s="278">
        <f t="shared" si="13"/>
        <v>11.304</v>
      </c>
      <c r="K26" s="278">
        <f t="shared" si="13"/>
        <v>11.304</v>
      </c>
      <c r="M26" s="191"/>
      <c r="N26" s="162" t="s">
        <v>819</v>
      </c>
      <c r="O26" s="163">
        <v>2</v>
      </c>
      <c r="P26" s="164">
        <v>3.5</v>
      </c>
      <c r="Q26" s="246">
        <f t="shared" si="14"/>
        <v>3.5</v>
      </c>
      <c r="R26" s="247">
        <f t="shared" si="15"/>
        <v>7</v>
      </c>
      <c r="S26" s="247">
        <f t="shared" si="15"/>
        <v>7</v>
      </c>
      <c r="T26" s="247">
        <f t="shared" si="15"/>
        <v>7</v>
      </c>
      <c r="U26" s="247">
        <f t="shared" si="15"/>
        <v>7</v>
      </c>
      <c r="V26" s="247">
        <f t="shared" si="15"/>
        <v>7</v>
      </c>
      <c r="W26" s="247">
        <f t="shared" si="15"/>
        <v>7</v>
      </c>
    </row>
    <row r="27" spans="1:23" ht="12" customHeight="1">
      <c r="A27" s="191"/>
      <c r="B27" s="162" t="s">
        <v>821</v>
      </c>
      <c r="C27" s="163">
        <v>0.06</v>
      </c>
      <c r="D27" s="164">
        <v>21</v>
      </c>
      <c r="E27" s="277">
        <f t="shared" si="12"/>
        <v>21</v>
      </c>
      <c r="F27" s="278">
        <f t="shared" si="13"/>
        <v>1.26</v>
      </c>
      <c r="G27" s="736">
        <f t="shared" si="13"/>
        <v>1.26</v>
      </c>
      <c r="H27" s="278">
        <f t="shared" si="13"/>
        <v>1.26</v>
      </c>
      <c r="I27" s="278">
        <f t="shared" si="13"/>
        <v>1.26</v>
      </c>
      <c r="J27" s="278">
        <f t="shared" si="13"/>
        <v>1.26</v>
      </c>
      <c r="K27" s="278">
        <f t="shared" si="13"/>
        <v>1.26</v>
      </c>
      <c r="M27" s="191"/>
      <c r="N27" s="162" t="s">
        <v>820</v>
      </c>
      <c r="O27" s="163">
        <v>1.8</v>
      </c>
      <c r="P27" s="164">
        <v>6.28</v>
      </c>
      <c r="Q27" s="246">
        <f t="shared" si="14"/>
        <v>6.28</v>
      </c>
      <c r="R27" s="247">
        <f t="shared" si="15"/>
        <v>11.304</v>
      </c>
      <c r="S27" s="247">
        <f t="shared" si="15"/>
        <v>11.304</v>
      </c>
      <c r="T27" s="247">
        <f t="shared" si="15"/>
        <v>11.304</v>
      </c>
      <c r="U27" s="247">
        <f t="shared" si="15"/>
        <v>11.304</v>
      </c>
      <c r="V27" s="247">
        <f t="shared" si="15"/>
        <v>11.304</v>
      </c>
      <c r="W27" s="247">
        <f t="shared" si="15"/>
        <v>11.304</v>
      </c>
    </row>
    <row r="28" spans="1:23" ht="12" customHeight="1">
      <c r="A28" s="191"/>
      <c r="B28" s="162" t="s">
        <v>822</v>
      </c>
      <c r="C28" s="163">
        <f>1.6/80</f>
        <v>0.02</v>
      </c>
      <c r="D28" s="164">
        <f>41.8/4.3</f>
        <v>9.720930232558139</v>
      </c>
      <c r="E28" s="277">
        <f t="shared" si="12"/>
        <v>9.720930232558139</v>
      </c>
      <c r="F28" s="278">
        <f t="shared" si="13"/>
        <v>0.19441860465116279</v>
      </c>
      <c r="G28" s="736">
        <f t="shared" si="13"/>
        <v>0.19441860465116279</v>
      </c>
      <c r="H28" s="278">
        <f t="shared" si="13"/>
        <v>0.19441860465116279</v>
      </c>
      <c r="I28" s="278">
        <f t="shared" si="13"/>
        <v>0.19441860465116279</v>
      </c>
      <c r="J28" s="278">
        <f t="shared" si="13"/>
        <v>0.19441860465116279</v>
      </c>
      <c r="K28" s="278">
        <f t="shared" si="13"/>
        <v>0.19441860465116279</v>
      </c>
      <c r="M28" s="191"/>
      <c r="N28" s="162" t="s">
        <v>821</v>
      </c>
      <c r="O28" s="163">
        <v>0.06</v>
      </c>
      <c r="P28" s="164">
        <v>21</v>
      </c>
      <c r="Q28" s="246">
        <f t="shared" si="14"/>
        <v>21</v>
      </c>
      <c r="R28" s="247">
        <f t="shared" si="15"/>
        <v>1.26</v>
      </c>
      <c r="S28" s="247">
        <f t="shared" si="15"/>
        <v>1.26</v>
      </c>
      <c r="T28" s="247">
        <f t="shared" si="15"/>
        <v>1.26</v>
      </c>
      <c r="U28" s="247">
        <f t="shared" si="15"/>
        <v>1.26</v>
      </c>
      <c r="V28" s="247">
        <f t="shared" si="15"/>
        <v>1.26</v>
      </c>
      <c r="W28" s="247">
        <f t="shared" si="15"/>
        <v>1.26</v>
      </c>
    </row>
    <row r="29" spans="1:23" ht="12" customHeight="1">
      <c r="A29" s="191"/>
      <c r="B29" s="166" t="s">
        <v>823</v>
      </c>
      <c r="C29" s="166"/>
      <c r="D29" s="167"/>
      <c r="E29" s="737"/>
      <c r="F29" s="280">
        <f aca="true" t="shared" si="16" ref="F29:K29">SUM(F23:F28)</f>
        <v>86.45841860465116</v>
      </c>
      <c r="G29" s="738">
        <f t="shared" si="16"/>
        <v>86.45841860465116</v>
      </c>
      <c r="H29" s="280">
        <f t="shared" si="16"/>
        <v>86.45841860465116</v>
      </c>
      <c r="I29" s="280">
        <f t="shared" si="16"/>
        <v>86.45841860465116</v>
      </c>
      <c r="J29" s="280">
        <f t="shared" si="16"/>
        <v>86.45841860465116</v>
      </c>
      <c r="K29" s="280">
        <f t="shared" si="16"/>
        <v>86.45841860465116</v>
      </c>
      <c r="M29" s="191"/>
      <c r="N29" s="162" t="s">
        <v>822</v>
      </c>
      <c r="O29" s="163">
        <f>1.6/80</f>
        <v>0.02</v>
      </c>
      <c r="P29" s="164">
        <f>41.8/4.3</f>
        <v>9.720930232558139</v>
      </c>
      <c r="Q29" s="246">
        <f t="shared" si="14"/>
        <v>9.720930232558139</v>
      </c>
      <c r="R29" s="247">
        <f t="shared" si="15"/>
        <v>0.19441860465116279</v>
      </c>
      <c r="S29" s="247">
        <f t="shared" si="15"/>
        <v>0.19441860465116279</v>
      </c>
      <c r="T29" s="247">
        <f t="shared" si="15"/>
        <v>0.19441860465116279</v>
      </c>
      <c r="U29" s="247">
        <f t="shared" si="15"/>
        <v>0.19441860465116279</v>
      </c>
      <c r="V29" s="247">
        <f t="shared" si="15"/>
        <v>0.19441860465116279</v>
      </c>
      <c r="W29" s="247">
        <f t="shared" si="15"/>
        <v>0.19441860465116279</v>
      </c>
    </row>
    <row r="30" spans="1:23" ht="12" customHeight="1">
      <c r="A30" s="191"/>
      <c r="B30" s="180"/>
      <c r="C30" s="180"/>
      <c r="D30" s="171"/>
      <c r="E30" s="157"/>
      <c r="F30" s="171"/>
      <c r="G30" s="244"/>
      <c r="H30" s="157"/>
      <c r="I30" s="157"/>
      <c r="J30" s="244"/>
      <c r="M30" s="191"/>
      <c r="N30" s="166" t="s">
        <v>823</v>
      </c>
      <c r="O30" s="166"/>
      <c r="P30" s="167"/>
      <c r="Q30" s="681"/>
      <c r="R30" s="739">
        <f aca="true" t="shared" si="17" ref="R30:W30">SUM(R24:R29)</f>
        <v>86.45841860465116</v>
      </c>
      <c r="S30" s="280">
        <f t="shared" si="17"/>
        <v>86.45841860465116</v>
      </c>
      <c r="T30" s="280">
        <f t="shared" si="17"/>
        <v>86.45841860465116</v>
      </c>
      <c r="U30" s="280">
        <f t="shared" si="17"/>
        <v>86.45841860465116</v>
      </c>
      <c r="V30" s="280">
        <f t="shared" si="17"/>
        <v>86.45841860465116</v>
      </c>
      <c r="W30" s="280">
        <f t="shared" si="17"/>
        <v>86.45841860465116</v>
      </c>
    </row>
    <row r="31" spans="1:23" ht="12" customHeight="1">
      <c r="A31" s="191"/>
      <c r="B31" s="166" t="s">
        <v>918</v>
      </c>
      <c r="C31" s="170"/>
      <c r="D31" s="180"/>
      <c r="E31" s="157"/>
      <c r="F31" s="740">
        <f aca="true" t="shared" si="18" ref="F31:K31">F21+F29</f>
        <v>169.25841860465115</v>
      </c>
      <c r="G31" s="741">
        <f t="shared" si="18"/>
        <v>169.25841860465115</v>
      </c>
      <c r="H31" s="740">
        <f t="shared" si="18"/>
        <v>169.25841860465115</v>
      </c>
      <c r="I31" s="740">
        <f t="shared" si="18"/>
        <v>169.25841860465115</v>
      </c>
      <c r="J31" s="742">
        <f t="shared" si="18"/>
        <v>169.25841860465115</v>
      </c>
      <c r="K31" s="742">
        <f t="shared" si="18"/>
        <v>169.25841860465115</v>
      </c>
      <c r="M31" s="191"/>
      <c r="N31" s="180"/>
      <c r="O31" s="180"/>
      <c r="P31" s="171"/>
      <c r="Q31" s="157"/>
      <c r="R31" s="250"/>
      <c r="S31" s="743"/>
      <c r="T31" s="744"/>
      <c r="U31" s="744"/>
      <c r="V31" s="743"/>
      <c r="W31" s="743"/>
    </row>
    <row r="32" spans="1:23" ht="12" customHeight="1">
      <c r="A32" s="191"/>
      <c r="B32" s="170"/>
      <c r="C32" s="170"/>
      <c r="D32" s="180"/>
      <c r="E32" s="157"/>
      <c r="F32" s="745"/>
      <c r="G32" s="746"/>
      <c r="H32" s="745"/>
      <c r="I32" s="745"/>
      <c r="J32" s="746"/>
      <c r="M32" s="191"/>
      <c r="N32" s="166" t="s">
        <v>918</v>
      </c>
      <c r="O32" s="170"/>
      <c r="P32" s="180"/>
      <c r="Q32" s="157"/>
      <c r="R32" s="250">
        <f aca="true" t="shared" si="19" ref="R32:W32">R21+R30</f>
        <v>150.85841860465115</v>
      </c>
      <c r="S32" s="282">
        <f t="shared" si="19"/>
        <v>150.85841860465115</v>
      </c>
      <c r="T32" s="250">
        <f t="shared" si="19"/>
        <v>150.85841860465115</v>
      </c>
      <c r="U32" s="250">
        <f t="shared" si="19"/>
        <v>150.85841860465115</v>
      </c>
      <c r="V32" s="282">
        <f t="shared" si="19"/>
        <v>150.85841860465115</v>
      </c>
      <c r="W32" s="282">
        <f t="shared" si="19"/>
        <v>150.85841860465115</v>
      </c>
    </row>
    <row r="33" spans="1:23" ht="12" customHeight="1" thickBot="1">
      <c r="A33" s="191"/>
      <c r="B33" s="166" t="s">
        <v>824</v>
      </c>
      <c r="C33" s="166"/>
      <c r="D33" s="739" t="s">
        <v>825</v>
      </c>
      <c r="E33" s="324"/>
      <c r="F33" s="1149" t="s">
        <v>912</v>
      </c>
      <c r="G33" s="1150"/>
      <c r="H33" s="1150"/>
      <c r="I33" s="1150"/>
      <c r="J33" s="1150"/>
      <c r="K33" s="1151"/>
      <c r="M33" s="191"/>
      <c r="N33" s="170"/>
      <c r="O33" s="170"/>
      <c r="P33" s="180"/>
      <c r="Q33" s="157"/>
      <c r="R33" s="745"/>
      <c r="S33" s="746"/>
      <c r="T33" s="745"/>
      <c r="U33" s="745"/>
      <c r="V33" s="746"/>
      <c r="W33" s="746"/>
    </row>
    <row r="34" spans="1:23" ht="12" customHeight="1" thickBot="1">
      <c r="A34" s="191"/>
      <c r="B34" s="162" t="s">
        <v>826</v>
      </c>
      <c r="C34" s="172">
        <v>0.1</v>
      </c>
      <c r="D34" s="747">
        <f>C34*D8</f>
        <v>17</v>
      </c>
      <c r="E34" s="265">
        <f>1*D34</f>
        <v>17</v>
      </c>
      <c r="F34" s="748">
        <f>$E34*$F7/1000</f>
        <v>30.6</v>
      </c>
      <c r="G34" s="749">
        <f>$E34*G7/1000</f>
        <v>32.3</v>
      </c>
      <c r="H34" s="748">
        <f>$E34*H7/1000</f>
        <v>42.5</v>
      </c>
      <c r="I34" s="748">
        <f>$E34*I7/1000</f>
        <v>47.6</v>
      </c>
      <c r="J34" s="748">
        <f>$E34*J7/1000</f>
        <v>51</v>
      </c>
      <c r="K34" s="748">
        <f>$E34*K7/1000</f>
        <v>46.818</v>
      </c>
      <c r="M34" s="191"/>
      <c r="N34" s="166" t="s">
        <v>824</v>
      </c>
      <c r="O34" s="170"/>
      <c r="P34" s="250" t="s">
        <v>825</v>
      </c>
      <c r="Q34" s="750"/>
      <c r="R34" s="1135" t="s">
        <v>912</v>
      </c>
      <c r="S34" s="1136"/>
      <c r="T34" s="1136"/>
      <c r="U34" s="1136"/>
      <c r="V34" s="1136"/>
      <c r="W34" s="1137"/>
    </row>
    <row r="35" spans="1:23" ht="12" customHeight="1">
      <c r="A35" s="191"/>
      <c r="B35" s="162" t="s">
        <v>827</v>
      </c>
      <c r="C35" s="172">
        <v>1</v>
      </c>
      <c r="D35" s="747">
        <f>C35*20</f>
        <v>20</v>
      </c>
      <c r="E35" s="265">
        <f>1*D35</f>
        <v>20</v>
      </c>
      <c r="F35" s="751">
        <f aca="true" t="shared" si="20" ref="F35:K35">$E35*F7/1000</f>
        <v>36</v>
      </c>
      <c r="G35" s="752">
        <f t="shared" si="20"/>
        <v>38</v>
      </c>
      <c r="H35" s="751">
        <f t="shared" si="20"/>
        <v>50</v>
      </c>
      <c r="I35" s="751">
        <f t="shared" si="20"/>
        <v>56</v>
      </c>
      <c r="J35" s="751">
        <f t="shared" si="20"/>
        <v>60</v>
      </c>
      <c r="K35" s="751">
        <f t="shared" si="20"/>
        <v>55.08</v>
      </c>
      <c r="M35" s="191"/>
      <c r="N35" s="162" t="s">
        <v>826</v>
      </c>
      <c r="O35" s="172">
        <v>0.1</v>
      </c>
      <c r="P35" s="165">
        <f>O35*P8*$T$5</f>
        <v>13.8125</v>
      </c>
      <c r="Q35" s="306">
        <f>1*P35</f>
        <v>13.8125</v>
      </c>
      <c r="R35" s="167">
        <f aca="true" t="shared" si="21" ref="R35:W35">$Q35*R7/1000</f>
        <v>24.8625</v>
      </c>
      <c r="S35" s="167">
        <f t="shared" si="21"/>
        <v>30.3875</v>
      </c>
      <c r="T35" s="167">
        <f t="shared" si="21"/>
        <v>34.53125</v>
      </c>
      <c r="U35" s="167">
        <f t="shared" si="21"/>
        <v>38.675</v>
      </c>
      <c r="V35" s="167">
        <f t="shared" si="21"/>
        <v>41.4375</v>
      </c>
      <c r="W35" s="167">
        <f t="shared" si="21"/>
        <v>32.459375</v>
      </c>
    </row>
    <row r="36" spans="1:23" ht="12" customHeight="1">
      <c r="A36" s="191"/>
      <c r="B36" s="174" t="s">
        <v>828</v>
      </c>
      <c r="C36" s="175">
        <v>0.01</v>
      </c>
      <c r="D36" s="747">
        <f>C36*D8</f>
        <v>1.7</v>
      </c>
      <c r="E36" s="265">
        <f>1*D36</f>
        <v>1.7</v>
      </c>
      <c r="F36" s="751">
        <f aca="true" t="shared" si="22" ref="F36:K36">$E36*F7/1000</f>
        <v>3.06</v>
      </c>
      <c r="G36" s="752">
        <f t="shared" si="22"/>
        <v>3.23</v>
      </c>
      <c r="H36" s="751">
        <f t="shared" si="22"/>
        <v>4.25</v>
      </c>
      <c r="I36" s="751">
        <f t="shared" si="22"/>
        <v>4.76</v>
      </c>
      <c r="J36" s="751">
        <f t="shared" si="22"/>
        <v>5.1</v>
      </c>
      <c r="K36" s="751">
        <f t="shared" si="22"/>
        <v>4.6818</v>
      </c>
      <c r="M36" s="191"/>
      <c r="N36" s="162" t="s">
        <v>827</v>
      </c>
      <c r="O36" s="172">
        <v>1</v>
      </c>
      <c r="P36" s="155">
        <f>O36*20</f>
        <v>20</v>
      </c>
      <c r="Q36" s="155">
        <f>1*P36</f>
        <v>20</v>
      </c>
      <c r="R36" s="167">
        <f aca="true" t="shared" si="23" ref="R36:W36">$Q36*R7/1000</f>
        <v>36</v>
      </c>
      <c r="S36" s="167">
        <f t="shared" si="23"/>
        <v>44</v>
      </c>
      <c r="T36" s="167">
        <f t="shared" si="23"/>
        <v>50</v>
      </c>
      <c r="U36" s="167">
        <f t="shared" si="23"/>
        <v>56</v>
      </c>
      <c r="V36" s="167">
        <f t="shared" si="23"/>
        <v>60</v>
      </c>
      <c r="W36" s="167">
        <f t="shared" si="23"/>
        <v>47</v>
      </c>
    </row>
    <row r="37" spans="1:23" ht="12" customHeight="1">
      <c r="A37" s="191"/>
      <c r="B37" s="174" t="s">
        <v>520</v>
      </c>
      <c r="C37" s="175">
        <v>0.00121</v>
      </c>
      <c r="D37" s="747">
        <f>C37*D8</f>
        <v>0.2057</v>
      </c>
      <c r="E37" s="265">
        <f>1*D37</f>
        <v>0.2057</v>
      </c>
      <c r="F37" s="751">
        <f aca="true" t="shared" si="24" ref="F37:K37">$E37*F7/1000</f>
        <v>0.37026</v>
      </c>
      <c r="G37" s="752">
        <f t="shared" si="24"/>
        <v>0.39083</v>
      </c>
      <c r="H37" s="751">
        <f t="shared" si="24"/>
        <v>0.51425</v>
      </c>
      <c r="I37" s="751">
        <f t="shared" si="24"/>
        <v>0.57596</v>
      </c>
      <c r="J37" s="751">
        <f t="shared" si="24"/>
        <v>0.6171</v>
      </c>
      <c r="K37" s="751">
        <f t="shared" si="24"/>
        <v>0.5664977999999999</v>
      </c>
      <c r="M37" s="191"/>
      <c r="N37" s="174" t="s">
        <v>828</v>
      </c>
      <c r="O37" s="175">
        <v>0.01</v>
      </c>
      <c r="P37" s="306">
        <f>O37*P8*T5</f>
        <v>1.3812499999999999</v>
      </c>
      <c r="Q37" s="306">
        <f>1*P37</f>
        <v>1.3812499999999999</v>
      </c>
      <c r="R37" s="167">
        <f aca="true" t="shared" si="25" ref="R37:W37">$Q37*R7/1000</f>
        <v>2.4862499999999996</v>
      </c>
      <c r="S37" s="167">
        <f t="shared" si="25"/>
        <v>3.0387499999999994</v>
      </c>
      <c r="T37" s="167">
        <f t="shared" si="25"/>
        <v>3.4531249999999996</v>
      </c>
      <c r="U37" s="167">
        <f t="shared" si="25"/>
        <v>3.8674999999999997</v>
      </c>
      <c r="V37" s="167">
        <f t="shared" si="25"/>
        <v>4.14375</v>
      </c>
      <c r="W37" s="167">
        <f t="shared" si="25"/>
        <v>3.2459374999999997</v>
      </c>
    </row>
    <row r="38" spans="1:23" ht="12" customHeight="1">
      <c r="A38" s="191"/>
      <c r="B38" s="166" t="s">
        <v>829</v>
      </c>
      <c r="C38" s="176"/>
      <c r="D38" s="753">
        <f aca="true" t="shared" si="26" ref="D38:K38">SUM(D34:D37)</f>
        <v>38.9057</v>
      </c>
      <c r="E38" s="753">
        <f t="shared" si="26"/>
        <v>38.9057</v>
      </c>
      <c r="F38" s="753">
        <f t="shared" si="26"/>
        <v>70.03026</v>
      </c>
      <c r="G38" s="754">
        <f t="shared" si="26"/>
        <v>73.92083</v>
      </c>
      <c r="H38" s="753">
        <f t="shared" si="26"/>
        <v>97.26425</v>
      </c>
      <c r="I38" s="753">
        <f t="shared" si="26"/>
        <v>108.93596</v>
      </c>
      <c r="J38" s="753">
        <f t="shared" si="26"/>
        <v>116.71709999999999</v>
      </c>
      <c r="K38" s="753">
        <f t="shared" si="26"/>
        <v>107.14629779999999</v>
      </c>
      <c r="M38" s="191"/>
      <c r="N38" s="174" t="s">
        <v>520</v>
      </c>
      <c r="O38" s="755">
        <v>0.00121</v>
      </c>
      <c r="P38" s="306">
        <f>O38*P8*T5</f>
        <v>0.16713124999999998</v>
      </c>
      <c r="Q38" s="306">
        <f>1*P38</f>
        <v>0.16713124999999998</v>
      </c>
      <c r="R38" s="167">
        <f aca="true" t="shared" si="27" ref="R38:W38">$Q38*R7/1000</f>
        <v>0.30083624999999997</v>
      </c>
      <c r="S38" s="167">
        <f t="shared" si="27"/>
        <v>0.36768874999999995</v>
      </c>
      <c r="T38" s="167">
        <f t="shared" si="27"/>
        <v>0.41782812499999994</v>
      </c>
      <c r="U38" s="167">
        <f t="shared" si="27"/>
        <v>0.4679675</v>
      </c>
      <c r="V38" s="167">
        <f t="shared" si="27"/>
        <v>0.50139375</v>
      </c>
      <c r="W38" s="167">
        <f t="shared" si="27"/>
        <v>0.39275843749999995</v>
      </c>
    </row>
    <row r="39" spans="1:23" ht="12" customHeight="1">
      <c r="A39" s="191"/>
      <c r="B39" s="180"/>
      <c r="C39" s="157"/>
      <c r="D39" s="756"/>
      <c r="E39" s="157"/>
      <c r="F39" s="171"/>
      <c r="G39" s="244"/>
      <c r="H39" s="157"/>
      <c r="I39" s="157"/>
      <c r="J39" s="244"/>
      <c r="M39" s="191"/>
      <c r="N39" s="166" t="s">
        <v>829</v>
      </c>
      <c r="O39" s="176"/>
      <c r="P39" s="739">
        <f aca="true" t="shared" si="28" ref="P39:W39">SUM(P35:P38)</f>
        <v>35.36088125</v>
      </c>
      <c r="Q39" s="739">
        <f t="shared" si="28"/>
        <v>35.36088125</v>
      </c>
      <c r="R39" s="739">
        <f t="shared" si="28"/>
        <v>63.64958625</v>
      </c>
      <c r="S39" s="280">
        <f t="shared" si="28"/>
        <v>77.79393875</v>
      </c>
      <c r="T39" s="739">
        <f t="shared" si="28"/>
        <v>88.402203125</v>
      </c>
      <c r="U39" s="739">
        <f t="shared" si="28"/>
        <v>99.01046749999999</v>
      </c>
      <c r="V39" s="280">
        <f t="shared" si="28"/>
        <v>106.08264375</v>
      </c>
      <c r="W39" s="280">
        <f t="shared" si="28"/>
        <v>83.0980709375</v>
      </c>
    </row>
    <row r="40" spans="1:23" ht="12" customHeight="1">
      <c r="A40" s="191"/>
      <c r="B40" s="757" t="s">
        <v>921</v>
      </c>
      <c r="C40" s="758"/>
      <c r="D40" s="759"/>
      <c r="E40" s="157"/>
      <c r="F40" s="760">
        <f aca="true" t="shared" si="29" ref="F40:K40">F21+F29+F38</f>
        <v>239.28867860465115</v>
      </c>
      <c r="G40" s="761">
        <f t="shared" si="29"/>
        <v>243.17924860465115</v>
      </c>
      <c r="H40" s="760">
        <f t="shared" si="29"/>
        <v>266.52266860465113</v>
      </c>
      <c r="I40" s="760">
        <f t="shared" si="29"/>
        <v>278.19437860465115</v>
      </c>
      <c r="J40" s="760">
        <f t="shared" si="29"/>
        <v>285.97551860465114</v>
      </c>
      <c r="K40" s="760">
        <f t="shared" si="29"/>
        <v>276.40471640465114</v>
      </c>
      <c r="M40" s="191"/>
      <c r="N40" s="180"/>
      <c r="O40" s="157"/>
      <c r="P40" s="756"/>
      <c r="Q40" s="157"/>
      <c r="R40" s="171"/>
      <c r="S40" s="244"/>
      <c r="T40" s="157"/>
      <c r="U40" s="157"/>
      <c r="V40" s="244"/>
      <c r="W40" s="244"/>
    </row>
    <row r="41" spans="1:23" ht="12" customHeight="1" thickBot="1">
      <c r="A41" s="191"/>
      <c r="B41" s="257" t="s">
        <v>371</v>
      </c>
      <c r="C41" s="255"/>
      <c r="D41" s="256"/>
      <c r="E41" s="157"/>
      <c r="F41" s="762">
        <f aca="true" t="shared" si="30" ref="F41:K41">F9-F40</f>
        <v>66.71132139534885</v>
      </c>
      <c r="G41" s="763">
        <f t="shared" si="30"/>
        <v>79.82075139534885</v>
      </c>
      <c r="H41" s="762">
        <f t="shared" si="30"/>
        <v>158.47733139534887</v>
      </c>
      <c r="I41" s="762">
        <f t="shared" si="30"/>
        <v>197.80562139534885</v>
      </c>
      <c r="J41" s="762">
        <f t="shared" si="30"/>
        <v>224.02448139534886</v>
      </c>
      <c r="K41" s="762">
        <f t="shared" si="30"/>
        <v>191.77528359534887</v>
      </c>
      <c r="M41" s="191"/>
      <c r="N41" s="757" t="s">
        <v>921</v>
      </c>
      <c r="O41" s="758"/>
      <c r="P41" s="759"/>
      <c r="Q41" s="157"/>
      <c r="R41" s="171">
        <f aca="true" t="shared" si="31" ref="R41:W41">R21+R30+R39</f>
        <v>214.50800485465115</v>
      </c>
      <c r="S41" s="764">
        <f t="shared" si="31"/>
        <v>228.65235735465114</v>
      </c>
      <c r="T41" s="171">
        <f t="shared" si="31"/>
        <v>239.26062172965115</v>
      </c>
      <c r="U41" s="171">
        <f t="shared" si="31"/>
        <v>249.86888610465115</v>
      </c>
      <c r="V41" s="764">
        <f t="shared" si="31"/>
        <v>256.94106235465114</v>
      </c>
      <c r="W41" s="764">
        <f t="shared" si="31"/>
        <v>233.95648954215113</v>
      </c>
    </row>
    <row r="42" spans="1:23" ht="12" customHeight="1" thickBot="1">
      <c r="A42" s="191"/>
      <c r="B42" s="423" t="s">
        <v>372</v>
      </c>
      <c r="C42" s="765"/>
      <c r="D42" s="765"/>
      <c r="E42" s="766"/>
      <c r="F42" s="767">
        <f aca="true" t="shared" si="32" ref="F42:K42">F41*$C$4</f>
        <v>8005.358567441862</v>
      </c>
      <c r="G42" s="768">
        <f t="shared" si="32"/>
        <v>9578.490167441862</v>
      </c>
      <c r="H42" s="767">
        <f t="shared" si="32"/>
        <v>19017.279767441865</v>
      </c>
      <c r="I42" s="767">
        <f t="shared" si="32"/>
        <v>23736.674567441863</v>
      </c>
      <c r="J42" s="767">
        <f t="shared" si="32"/>
        <v>26882.937767441865</v>
      </c>
      <c r="K42" s="767">
        <f t="shared" si="32"/>
        <v>23013.034031441864</v>
      </c>
      <c r="M42" s="191"/>
      <c r="N42" s="206" t="s">
        <v>922</v>
      </c>
      <c r="O42" s="255"/>
      <c r="P42" s="256"/>
      <c r="Q42" s="157"/>
      <c r="R42" s="171">
        <f aca="true" t="shared" si="33" ref="R42:W42">R9-R41</f>
        <v>34.11699514534885</v>
      </c>
      <c r="S42" s="764">
        <f t="shared" si="33"/>
        <v>75.22264264534886</v>
      </c>
      <c r="T42" s="171">
        <f t="shared" si="33"/>
        <v>106.05187827034885</v>
      </c>
      <c r="U42" s="171">
        <f t="shared" si="33"/>
        <v>136.88111389534885</v>
      </c>
      <c r="V42" s="171">
        <f t="shared" si="33"/>
        <v>157.43393764534886</v>
      </c>
      <c r="W42" s="171">
        <f t="shared" si="33"/>
        <v>90.63726045784887</v>
      </c>
    </row>
    <row r="43" spans="1:23" ht="12" customHeight="1" thickBot="1">
      <c r="A43" s="191"/>
      <c r="B43" s="257" t="s">
        <v>923</v>
      </c>
      <c r="C43" s="769"/>
      <c r="D43" s="770">
        <f>(F31)/(D8-D38)*1000</f>
        <v>1291.119587996207</v>
      </c>
      <c r="F43" s="65"/>
      <c r="G43" s="65"/>
      <c r="H43" s="65"/>
      <c r="I43" s="65"/>
      <c r="J43" s="65"/>
      <c r="K43" s="65"/>
      <c r="M43" s="191"/>
      <c r="N43" s="258" t="s">
        <v>923</v>
      </c>
      <c r="O43" s="258"/>
      <c r="P43" s="771">
        <f>(R32)/(P8*T5-P39)*1000</f>
        <v>1468.0067365891866</v>
      </c>
      <c r="R43" s="772"/>
      <c r="S43" s="772"/>
      <c r="T43" s="772"/>
      <c r="U43" s="772"/>
      <c r="V43" s="772"/>
      <c r="W43" s="772"/>
    </row>
    <row r="44" spans="1:23" ht="12" customHeight="1" thickBot="1">
      <c r="A44" s="191"/>
      <c r="B44" s="260" t="s">
        <v>924</v>
      </c>
      <c r="C44" s="261"/>
      <c r="D44" s="261"/>
      <c r="E44" s="261"/>
      <c r="F44" s="773">
        <f aca="true" t="shared" si="34" ref="F44:K44">(F31+$D$35*F7/1000)/((F7/1000-(F7/1000*($C$34+$C$36+$C$37))))</f>
        <v>128.30078509024827</v>
      </c>
      <c r="G44" s="774">
        <f t="shared" si="34"/>
        <v>122.73245447515644</v>
      </c>
      <c r="H44" s="773">
        <f t="shared" si="34"/>
        <v>98.67726621795977</v>
      </c>
      <c r="I44" s="773">
        <f t="shared" si="34"/>
        <v>90.51568448783948</v>
      </c>
      <c r="J44" s="773">
        <f t="shared" si="34"/>
        <v>85.98147241555041</v>
      </c>
      <c r="K44" s="773">
        <f t="shared" si="34"/>
        <v>91.6517071203302</v>
      </c>
      <c r="M44" s="191"/>
      <c r="N44" s="260" t="s">
        <v>924</v>
      </c>
      <c r="O44" s="261"/>
      <c r="P44" s="261"/>
      <c r="Q44" s="261"/>
      <c r="R44" s="775">
        <f aca="true" t="shared" si="35" ref="R44:W44">(R32+$P$36*R7/1000)/((R7/1000-(R7/1000*($O$35+$O$37+$O$38))))/$T$5</f>
        <v>137.41118302694346</v>
      </c>
      <c r="S44" s="775">
        <f t="shared" si="35"/>
        <v>117.24070127947859</v>
      </c>
      <c r="T44" s="775">
        <f t="shared" si="35"/>
        <v>106.34864113584756</v>
      </c>
      <c r="U44" s="775">
        <f t="shared" si="35"/>
        <v>97.79059388013746</v>
      </c>
      <c r="V44" s="775">
        <f t="shared" si="35"/>
        <v>93.03612318252074</v>
      </c>
      <c r="W44" s="775">
        <f t="shared" si="35"/>
        <v>111.4470522669089</v>
      </c>
    </row>
    <row r="45" ht="12" customHeight="1"/>
    <row r="46" spans="2:14" ht="12" customHeight="1">
      <c r="B46" s="776" t="s">
        <v>521</v>
      </c>
      <c r="N46" s="776" t="s">
        <v>521</v>
      </c>
    </row>
    <row r="47" spans="1:13" ht="12.75">
      <c r="A47" s="191"/>
      <c r="M47" s="191"/>
    </row>
    <row r="48" spans="1:13" ht="12.75">
      <c r="A48" s="191"/>
      <c r="M48" s="191"/>
    </row>
    <row r="49" spans="1:23" ht="12.75">
      <c r="A49" s="777"/>
      <c r="B49" s="778"/>
      <c r="C49" s="779"/>
      <c r="D49" s="779"/>
      <c r="E49" s="779"/>
      <c r="F49" s="779"/>
      <c r="G49" s="779"/>
      <c r="H49" s="779"/>
      <c r="I49" s="779"/>
      <c r="J49" s="779"/>
      <c r="K49" s="779"/>
      <c r="L49" s="779"/>
      <c r="M49" s="777"/>
      <c r="N49" s="779"/>
      <c r="O49" s="779"/>
      <c r="P49" s="779"/>
      <c r="Q49" s="779"/>
      <c r="R49" s="779"/>
      <c r="S49" s="779"/>
      <c r="T49" s="779"/>
      <c r="U49" s="779"/>
      <c r="V49" s="779"/>
      <c r="W49" s="779"/>
    </row>
    <row r="50" spans="1:23" ht="15.75">
      <c r="A50" s="1131" t="s">
        <v>511</v>
      </c>
      <c r="B50" s="1131"/>
      <c r="C50" s="1131"/>
      <c r="D50" s="1131"/>
      <c r="E50" s="1131"/>
      <c r="F50" s="1131"/>
      <c r="G50" s="1131"/>
      <c r="H50" s="1131"/>
      <c r="I50" s="1131"/>
      <c r="J50" s="1131"/>
      <c r="K50" s="1131"/>
      <c r="M50" s="1131" t="s">
        <v>511</v>
      </c>
      <c r="N50" s="1131"/>
      <c r="O50" s="1131"/>
      <c r="P50" s="1131"/>
      <c r="Q50" s="1131"/>
      <c r="R50" s="1131"/>
      <c r="S50" s="1131"/>
      <c r="T50" s="1131"/>
      <c r="U50" s="1131"/>
      <c r="V50" s="1131"/>
      <c r="W50" s="1131"/>
    </row>
    <row r="51" spans="1:18" ht="12.75">
      <c r="A51" s="191"/>
      <c r="B51" s="704" t="s">
        <v>898</v>
      </c>
      <c r="C51" s="705" t="s">
        <v>284</v>
      </c>
      <c r="E51" s="194"/>
      <c r="F51" s="194"/>
      <c r="M51" s="191"/>
      <c r="N51" s="704" t="s">
        <v>898</v>
      </c>
      <c r="O51" s="705" t="s">
        <v>284</v>
      </c>
      <c r="Q51" s="194"/>
      <c r="R51" s="194"/>
    </row>
    <row r="52" spans="1:17" ht="12.75">
      <c r="A52" s="191"/>
      <c r="B52" s="706" t="s">
        <v>899</v>
      </c>
      <c r="C52" s="707"/>
      <c r="E52" s="196" t="s">
        <v>285</v>
      </c>
      <c r="M52" s="191"/>
      <c r="N52" s="706" t="s">
        <v>899</v>
      </c>
      <c r="O52" s="780"/>
      <c r="Q52" s="196" t="s">
        <v>285</v>
      </c>
    </row>
    <row r="53" spans="1:22" ht="12" customHeight="1" thickBot="1">
      <c r="A53" s="191"/>
      <c r="B53" s="197"/>
      <c r="C53" s="197"/>
      <c r="D53" s="197"/>
      <c r="F53" s="1143" t="s">
        <v>282</v>
      </c>
      <c r="G53" s="1144"/>
      <c r="H53" s="1144"/>
      <c r="I53" s="1144"/>
      <c r="J53" s="1144"/>
      <c r="K53" s="1145"/>
      <c r="M53" s="191"/>
      <c r="N53" s="197"/>
      <c r="O53" s="197"/>
      <c r="P53" s="197"/>
      <c r="R53" s="180"/>
      <c r="S53" s="25" t="s">
        <v>327</v>
      </c>
      <c r="T53" s="198">
        <v>0.85</v>
      </c>
      <c r="U53" s="157"/>
      <c r="V53" s="157"/>
    </row>
    <row r="54" spans="1:23" ht="12" customHeight="1" thickBot="1">
      <c r="A54" s="191"/>
      <c r="B54" s="708" t="s">
        <v>901</v>
      </c>
      <c r="C54" s="709"/>
      <c r="D54" s="201" t="s">
        <v>902</v>
      </c>
      <c r="F54" s="1143" t="s">
        <v>903</v>
      </c>
      <c r="G54" s="1144"/>
      <c r="H54" s="1144"/>
      <c r="I54" s="1144"/>
      <c r="J54" s="1145"/>
      <c r="K54" s="209" t="s">
        <v>904</v>
      </c>
      <c r="M54" s="191"/>
      <c r="N54" s="199" t="s">
        <v>901</v>
      </c>
      <c r="O54" s="200"/>
      <c r="P54" s="201" t="s">
        <v>902</v>
      </c>
      <c r="R54" s="1132" t="s">
        <v>903</v>
      </c>
      <c r="S54" s="1133"/>
      <c r="T54" s="1133"/>
      <c r="U54" s="1133"/>
      <c r="V54" s="1134"/>
      <c r="W54" s="712" t="s">
        <v>904</v>
      </c>
    </row>
    <row r="55" spans="1:23" ht="12" customHeight="1">
      <c r="A55" s="191"/>
      <c r="B55" s="713"/>
      <c r="C55" s="714"/>
      <c r="D55" s="206" t="s">
        <v>905</v>
      </c>
      <c r="F55" s="715">
        <v>1800</v>
      </c>
      <c r="G55" s="781">
        <v>1850</v>
      </c>
      <c r="H55" s="715">
        <v>2500</v>
      </c>
      <c r="I55" s="159">
        <v>2800</v>
      </c>
      <c r="J55" s="718">
        <v>3000</v>
      </c>
      <c r="K55" s="159">
        <v>2000</v>
      </c>
      <c r="M55" s="191"/>
      <c r="N55" s="204"/>
      <c r="O55" s="205"/>
      <c r="P55" s="206" t="s">
        <v>905</v>
      </c>
      <c r="R55" s="207">
        <v>1800</v>
      </c>
      <c r="S55" s="208">
        <v>2200</v>
      </c>
      <c r="T55" s="207">
        <v>2500</v>
      </c>
      <c r="U55" s="209">
        <v>2800</v>
      </c>
      <c r="V55" s="210">
        <v>3000</v>
      </c>
      <c r="W55" s="159">
        <v>2400</v>
      </c>
    </row>
    <row r="56" spans="1:22" ht="12" customHeight="1">
      <c r="A56" s="191"/>
      <c r="B56" s="180" t="s">
        <v>906</v>
      </c>
      <c r="C56" s="211"/>
      <c r="D56" s="212">
        <v>162.5</v>
      </c>
      <c r="F56" s="213"/>
      <c r="G56" s="721"/>
      <c r="H56" s="215"/>
      <c r="I56" s="215"/>
      <c r="J56" s="214"/>
      <c r="M56" s="191"/>
      <c r="N56" s="180" t="s">
        <v>906</v>
      </c>
      <c r="O56" s="211"/>
      <c r="P56" s="212">
        <v>162.5</v>
      </c>
      <c r="R56" s="213"/>
      <c r="S56" s="214"/>
      <c r="T56" s="215"/>
      <c r="U56" s="215"/>
      <c r="V56" s="214"/>
    </row>
    <row r="57" spans="1:23" ht="12" customHeight="1">
      <c r="A57" s="191"/>
      <c r="B57" s="216" t="s">
        <v>907</v>
      </c>
      <c r="C57" s="217"/>
      <c r="D57" s="218"/>
      <c r="F57" s="219">
        <f aca="true" t="shared" si="36" ref="F57:K57">F55*$D$56/1000</f>
        <v>292.5</v>
      </c>
      <c r="G57" s="722">
        <f t="shared" si="36"/>
        <v>300.625</v>
      </c>
      <c r="H57" s="219">
        <f t="shared" si="36"/>
        <v>406.25</v>
      </c>
      <c r="I57" s="219">
        <f t="shared" si="36"/>
        <v>455</v>
      </c>
      <c r="J57" s="219">
        <f t="shared" si="36"/>
        <v>487.5</v>
      </c>
      <c r="K57" s="219">
        <f t="shared" si="36"/>
        <v>325</v>
      </c>
      <c r="M57" s="191"/>
      <c r="N57" s="216" t="s">
        <v>907</v>
      </c>
      <c r="O57" s="217"/>
      <c r="P57" s="218"/>
      <c r="R57" s="219">
        <f aca="true" t="shared" si="37" ref="R57:W57">R55*$P$56*$T$53/1000</f>
        <v>248.625</v>
      </c>
      <c r="S57" s="219">
        <f t="shared" si="37"/>
        <v>303.875</v>
      </c>
      <c r="T57" s="219">
        <f t="shared" si="37"/>
        <v>345.3125</v>
      </c>
      <c r="U57" s="219">
        <f t="shared" si="37"/>
        <v>386.75</v>
      </c>
      <c r="V57" s="219">
        <f t="shared" si="37"/>
        <v>414.375</v>
      </c>
      <c r="W57" s="219">
        <f t="shared" si="37"/>
        <v>331.5</v>
      </c>
    </row>
    <row r="58" spans="1:23" ht="12" customHeight="1" thickBot="1">
      <c r="A58" s="191"/>
      <c r="B58" s="216" t="s">
        <v>908</v>
      </c>
      <c r="C58" s="217"/>
      <c r="D58" s="220"/>
      <c r="F58" s="221"/>
      <c r="G58" s="222"/>
      <c r="J58" s="65"/>
      <c r="M58" s="191"/>
      <c r="N58" s="216" t="s">
        <v>908</v>
      </c>
      <c r="O58" s="217"/>
      <c r="P58" s="220"/>
      <c r="R58" s="221"/>
      <c r="S58" s="222"/>
      <c r="V58" s="65"/>
      <c r="W58" s="65"/>
    </row>
    <row r="59" spans="1:23" ht="12" customHeight="1" thickBot="1">
      <c r="A59" s="191"/>
      <c r="B59" s="724" t="s">
        <v>909</v>
      </c>
      <c r="C59" s="164">
        <v>18</v>
      </c>
      <c r="G59" s="224"/>
      <c r="J59" s="65"/>
      <c r="M59" s="191"/>
      <c r="N59" s="724" t="s">
        <v>909</v>
      </c>
      <c r="O59" s="164">
        <v>14</v>
      </c>
      <c r="S59" s="224"/>
      <c r="V59" s="65"/>
      <c r="W59" s="65"/>
    </row>
    <row r="60" spans="1:23" ht="12" customHeight="1" thickBot="1">
      <c r="A60" s="161" t="s">
        <v>864</v>
      </c>
      <c r="B60" s="227" t="s">
        <v>1118</v>
      </c>
      <c r="C60" s="227" t="s">
        <v>817</v>
      </c>
      <c r="D60" s="219" t="s">
        <v>910</v>
      </c>
      <c r="E60" s="727" t="s">
        <v>911</v>
      </c>
      <c r="F60" s="1135" t="s">
        <v>912</v>
      </c>
      <c r="G60" s="1136"/>
      <c r="H60" s="1136"/>
      <c r="I60" s="1136"/>
      <c r="J60" s="1136"/>
      <c r="K60" s="1137"/>
      <c r="M60" s="155" t="s">
        <v>512</v>
      </c>
      <c r="N60" s="726"/>
      <c r="O60" s="227" t="s">
        <v>817</v>
      </c>
      <c r="P60" s="219" t="s">
        <v>910</v>
      </c>
      <c r="Q60" s="160" t="s">
        <v>911</v>
      </c>
      <c r="R60" s="1135" t="s">
        <v>912</v>
      </c>
      <c r="S60" s="1136"/>
      <c r="T60" s="1136"/>
      <c r="U60" s="1136"/>
      <c r="V60" s="1136"/>
      <c r="W60" s="1137"/>
    </row>
    <row r="61" spans="1:23" ht="12" customHeight="1">
      <c r="A61" s="225">
        <v>18</v>
      </c>
      <c r="B61" s="234" t="str">
        <f>IF($A61&lt;&gt;0,VLOOKUP($A61,equi,2),"")</f>
        <v>Siembra Gruesa - Labranza Cero</v>
      </c>
      <c r="C61" s="232">
        <v>1</v>
      </c>
      <c r="D61" s="235">
        <f>IF($A61&lt;&gt;0,VLOOKUP($A61,equi,3),"")</f>
        <v>0.65</v>
      </c>
      <c r="E61" s="165">
        <f>D61*$C$59</f>
        <v>11.700000000000001</v>
      </c>
      <c r="F61" s="782">
        <f aca="true" t="shared" si="38" ref="F61:K63">$E61*$C61</f>
        <v>11.700000000000001</v>
      </c>
      <c r="G61" s="783">
        <f t="shared" si="38"/>
        <v>11.700000000000001</v>
      </c>
      <c r="H61" s="782">
        <f t="shared" si="38"/>
        <v>11.700000000000001</v>
      </c>
      <c r="I61" s="782">
        <f t="shared" si="38"/>
        <v>11.700000000000001</v>
      </c>
      <c r="J61" s="782">
        <f t="shared" si="38"/>
        <v>11.700000000000001</v>
      </c>
      <c r="K61" s="782">
        <f t="shared" si="38"/>
        <v>11.700000000000001</v>
      </c>
      <c r="M61" s="225">
        <v>18</v>
      </c>
      <c r="N61" s="784" t="str">
        <f>IF($M61&lt;&gt;0,VLOOKUP($M61,equi,2),"")</f>
        <v>Siembra Gruesa - Labranza Cero</v>
      </c>
      <c r="O61" s="232">
        <v>1</v>
      </c>
      <c r="P61" s="235">
        <f>IF($M61&lt;&gt;0,VLOOKUP($M61,equi,3),"")</f>
        <v>0.65</v>
      </c>
      <c r="Q61" s="165">
        <f>P61*$O$59</f>
        <v>9.1</v>
      </c>
      <c r="R61" s="785">
        <f aca="true" t="shared" si="39" ref="R61:W63">$O61*$Q61</f>
        <v>9.1</v>
      </c>
      <c r="S61" s="785">
        <f t="shared" si="39"/>
        <v>9.1</v>
      </c>
      <c r="T61" s="785">
        <f t="shared" si="39"/>
        <v>9.1</v>
      </c>
      <c r="U61" s="785">
        <f t="shared" si="39"/>
        <v>9.1</v>
      </c>
      <c r="V61" s="785">
        <f t="shared" si="39"/>
        <v>9.1</v>
      </c>
      <c r="W61" s="785">
        <f t="shared" si="39"/>
        <v>9.1</v>
      </c>
    </row>
    <row r="62" spans="1:23" ht="12" customHeight="1">
      <c r="A62" s="225">
        <v>22</v>
      </c>
      <c r="B62" s="234" t="str">
        <f>IF($A62&lt;&gt;0,VLOOKUP($A62,equi,2),"")</f>
        <v>Pulverización Terrestre p/Herbicidas y Defoliantes</v>
      </c>
      <c r="C62" s="232">
        <v>2</v>
      </c>
      <c r="D62" s="235">
        <f>IF($A62&lt;&gt;0,VLOOKUP($A62,equi,3),"")</f>
        <v>0.25</v>
      </c>
      <c r="E62" s="165">
        <f>D62*$C$59</f>
        <v>4.5</v>
      </c>
      <c r="F62" s="785">
        <f t="shared" si="38"/>
        <v>9</v>
      </c>
      <c r="G62" s="786">
        <f t="shared" si="38"/>
        <v>9</v>
      </c>
      <c r="H62" s="785">
        <f t="shared" si="38"/>
        <v>9</v>
      </c>
      <c r="I62" s="785">
        <f t="shared" si="38"/>
        <v>9</v>
      </c>
      <c r="J62" s="785">
        <f t="shared" si="38"/>
        <v>9</v>
      </c>
      <c r="K62" s="785">
        <f t="shared" si="38"/>
        <v>9</v>
      </c>
      <c r="M62" s="225">
        <v>22</v>
      </c>
      <c r="N62" s="784" t="str">
        <f>IF($M62&lt;&gt;0,VLOOKUP($M62,equi,2),"")</f>
        <v>Pulverización Terrestre p/Herbicidas y Defoliantes</v>
      </c>
      <c r="O62" s="232">
        <v>2</v>
      </c>
      <c r="P62" s="235">
        <f>IF($M62&lt;&gt;0,VLOOKUP($M62,equi,3),"")</f>
        <v>0.25</v>
      </c>
      <c r="Q62" s="165">
        <f>P62*$O$59</f>
        <v>3.5</v>
      </c>
      <c r="R62" s="785">
        <f t="shared" si="39"/>
        <v>7</v>
      </c>
      <c r="S62" s="785">
        <f t="shared" si="39"/>
        <v>7</v>
      </c>
      <c r="T62" s="785">
        <f t="shared" si="39"/>
        <v>7</v>
      </c>
      <c r="U62" s="785">
        <f t="shared" si="39"/>
        <v>7</v>
      </c>
      <c r="V62" s="785">
        <f t="shared" si="39"/>
        <v>7</v>
      </c>
      <c r="W62" s="785">
        <f t="shared" si="39"/>
        <v>7</v>
      </c>
    </row>
    <row r="63" spans="1:23" ht="12" customHeight="1">
      <c r="A63" s="225">
        <v>23</v>
      </c>
      <c r="B63" s="234" t="str">
        <f>IF($A63&lt;&gt;0,VLOOKUP($A63,equi,2),"")</f>
        <v>Pulverización Terrestre p/Insecticidas</v>
      </c>
      <c r="C63" s="232">
        <v>3</v>
      </c>
      <c r="D63" s="235">
        <f>IF($A63&lt;&gt;0,VLOOKUP($A63,equi,3),"")</f>
        <v>0.3</v>
      </c>
      <c r="E63" s="165">
        <f>D63*$C$59</f>
        <v>5.3999999999999995</v>
      </c>
      <c r="F63" s="785">
        <f t="shared" si="38"/>
        <v>16.2</v>
      </c>
      <c r="G63" s="786">
        <f t="shared" si="38"/>
        <v>16.2</v>
      </c>
      <c r="H63" s="785">
        <f t="shared" si="38"/>
        <v>16.2</v>
      </c>
      <c r="I63" s="785">
        <f t="shared" si="38"/>
        <v>16.2</v>
      </c>
      <c r="J63" s="785">
        <f t="shared" si="38"/>
        <v>16.2</v>
      </c>
      <c r="K63" s="785">
        <f t="shared" si="38"/>
        <v>16.2</v>
      </c>
      <c r="M63" s="225">
        <v>23</v>
      </c>
      <c r="N63" s="784" t="str">
        <f>IF($M63&lt;&gt;0,VLOOKUP($M63,equi,2),"")</f>
        <v>Pulverización Terrestre p/Insecticidas</v>
      </c>
      <c r="O63" s="232">
        <v>3</v>
      </c>
      <c r="P63" s="235">
        <f>IF($M63&lt;&gt;0,VLOOKUP($M63,equi,3),"")</f>
        <v>0.3</v>
      </c>
      <c r="Q63" s="165">
        <f>P63*$O$59</f>
        <v>4.2</v>
      </c>
      <c r="R63" s="785">
        <f t="shared" si="39"/>
        <v>12.600000000000001</v>
      </c>
      <c r="S63" s="785">
        <f t="shared" si="39"/>
        <v>12.600000000000001</v>
      </c>
      <c r="T63" s="785">
        <f t="shared" si="39"/>
        <v>12.600000000000001</v>
      </c>
      <c r="U63" s="785">
        <f t="shared" si="39"/>
        <v>12.600000000000001</v>
      </c>
      <c r="V63" s="785">
        <f t="shared" si="39"/>
        <v>12.600000000000001</v>
      </c>
      <c r="W63" s="785">
        <f t="shared" si="39"/>
        <v>12.600000000000001</v>
      </c>
    </row>
    <row r="64" spans="1:23" ht="12" customHeight="1">
      <c r="A64" s="225"/>
      <c r="B64" s="166" t="s">
        <v>913</v>
      </c>
      <c r="C64" s="166"/>
      <c r="D64" s="236"/>
      <c r="E64" s="237"/>
      <c r="F64" s="787">
        <f aca="true" t="shared" si="40" ref="F64:K64">SUM(F61:F63)</f>
        <v>36.900000000000006</v>
      </c>
      <c r="G64" s="788">
        <f t="shared" si="40"/>
        <v>36.900000000000006</v>
      </c>
      <c r="H64" s="789">
        <f t="shared" si="40"/>
        <v>36.900000000000006</v>
      </c>
      <c r="I64" s="789">
        <f t="shared" si="40"/>
        <v>36.900000000000006</v>
      </c>
      <c r="J64" s="790">
        <f t="shared" si="40"/>
        <v>36.900000000000006</v>
      </c>
      <c r="K64" s="790">
        <f t="shared" si="40"/>
        <v>36.900000000000006</v>
      </c>
      <c r="M64" s="225"/>
      <c r="N64" s="166" t="s">
        <v>913</v>
      </c>
      <c r="O64" s="166"/>
      <c r="P64" s="236"/>
      <c r="Q64" s="237"/>
      <c r="R64" s="238">
        <f aca="true" t="shared" si="41" ref="R64:W64">SUM(R61:R63)</f>
        <v>28.700000000000003</v>
      </c>
      <c r="S64" s="239">
        <f t="shared" si="41"/>
        <v>28.700000000000003</v>
      </c>
      <c r="T64" s="240">
        <f t="shared" si="41"/>
        <v>28.700000000000003</v>
      </c>
      <c r="U64" s="240">
        <f t="shared" si="41"/>
        <v>28.700000000000003</v>
      </c>
      <c r="V64" s="239">
        <f t="shared" si="41"/>
        <v>28.700000000000003</v>
      </c>
      <c r="W64" s="239">
        <f t="shared" si="41"/>
        <v>28.700000000000003</v>
      </c>
    </row>
    <row r="65" spans="1:23" ht="12" customHeight="1" thickBot="1">
      <c r="A65" s="191"/>
      <c r="B65" s="791"/>
      <c r="C65" s="792"/>
      <c r="D65" s="241"/>
      <c r="F65" s="242"/>
      <c r="G65" s="793"/>
      <c r="J65" s="65"/>
      <c r="M65" s="191"/>
      <c r="N65" s="166"/>
      <c r="O65" s="170"/>
      <c r="P65" s="241"/>
      <c r="Q65" s="157"/>
      <c r="R65" s="242"/>
      <c r="S65" s="243"/>
      <c r="T65" s="157"/>
      <c r="U65" s="157"/>
      <c r="V65" s="244"/>
      <c r="W65" s="244"/>
    </row>
    <row r="66" spans="1:23" ht="12" customHeight="1" thickBot="1">
      <c r="A66" s="191"/>
      <c r="B66" s="734"/>
      <c r="C66" s="170" t="s">
        <v>817</v>
      </c>
      <c r="D66" s="245" t="s">
        <v>915</v>
      </c>
      <c r="E66" s="245" t="s">
        <v>916</v>
      </c>
      <c r="F66" s="1152" t="s">
        <v>912</v>
      </c>
      <c r="G66" s="1153"/>
      <c r="H66" s="1153"/>
      <c r="I66" s="1153"/>
      <c r="J66" s="1153"/>
      <c r="K66" s="1154"/>
      <c r="M66" s="191"/>
      <c r="N66" s="166"/>
      <c r="O66" s="170" t="s">
        <v>817</v>
      </c>
      <c r="P66" s="245" t="s">
        <v>915</v>
      </c>
      <c r="Q66" s="245" t="s">
        <v>916</v>
      </c>
      <c r="R66" s="1135" t="s">
        <v>912</v>
      </c>
      <c r="S66" s="1136"/>
      <c r="T66" s="1136"/>
      <c r="U66" s="1136"/>
      <c r="V66" s="1136"/>
      <c r="W66" s="1137"/>
    </row>
    <row r="67" spans="1:23" ht="12" customHeight="1">
      <c r="A67" s="191"/>
      <c r="B67" s="162" t="s">
        <v>818</v>
      </c>
      <c r="C67" s="163">
        <v>70</v>
      </c>
      <c r="D67" s="164">
        <v>0.49</v>
      </c>
      <c r="E67" s="246">
        <f>1*D67</f>
        <v>0.49</v>
      </c>
      <c r="F67" s="794">
        <f aca="true" t="shared" si="42" ref="F67:K71">$C67*$E67</f>
        <v>34.3</v>
      </c>
      <c r="G67" s="730">
        <f t="shared" si="42"/>
        <v>34.3</v>
      </c>
      <c r="H67" s="794">
        <f t="shared" si="42"/>
        <v>34.3</v>
      </c>
      <c r="I67" s="794">
        <f t="shared" si="42"/>
        <v>34.3</v>
      </c>
      <c r="J67" s="794">
        <f t="shared" si="42"/>
        <v>34.3</v>
      </c>
      <c r="K67" s="794">
        <f t="shared" si="42"/>
        <v>34.3</v>
      </c>
      <c r="M67" s="191"/>
      <c r="N67" s="162" t="s">
        <v>818</v>
      </c>
      <c r="O67" s="163">
        <v>70</v>
      </c>
      <c r="P67" s="164">
        <v>0.49</v>
      </c>
      <c r="Q67" s="246">
        <f>1*P67</f>
        <v>0.49</v>
      </c>
      <c r="R67" s="247">
        <f aca="true" t="shared" si="43" ref="R67:W71">$O67*$Q67</f>
        <v>34.3</v>
      </c>
      <c r="S67" s="247">
        <f t="shared" si="43"/>
        <v>34.3</v>
      </c>
      <c r="T67" s="247">
        <f t="shared" si="43"/>
        <v>34.3</v>
      </c>
      <c r="U67" s="247">
        <f t="shared" si="43"/>
        <v>34.3</v>
      </c>
      <c r="V67" s="247">
        <f t="shared" si="43"/>
        <v>34.3</v>
      </c>
      <c r="W67" s="247">
        <f t="shared" si="43"/>
        <v>34.3</v>
      </c>
    </row>
    <row r="68" spans="1:23" ht="12" customHeight="1">
      <c r="A68" s="191"/>
      <c r="B68" s="162" t="s">
        <v>830</v>
      </c>
      <c r="C68" s="163">
        <v>5</v>
      </c>
      <c r="D68" s="164">
        <v>3.5</v>
      </c>
      <c r="E68" s="246">
        <f>1*D68</f>
        <v>3.5</v>
      </c>
      <c r="F68" s="247">
        <f t="shared" si="42"/>
        <v>17.5</v>
      </c>
      <c r="G68" s="736">
        <f t="shared" si="42"/>
        <v>17.5</v>
      </c>
      <c r="H68" s="247">
        <f t="shared" si="42"/>
        <v>17.5</v>
      </c>
      <c r="I68" s="247">
        <f t="shared" si="42"/>
        <v>17.5</v>
      </c>
      <c r="J68" s="247">
        <f t="shared" si="42"/>
        <v>17.5</v>
      </c>
      <c r="K68" s="247">
        <f t="shared" si="42"/>
        <v>17.5</v>
      </c>
      <c r="M68" s="191"/>
      <c r="N68" s="162" t="s">
        <v>830</v>
      </c>
      <c r="O68" s="163">
        <v>5</v>
      </c>
      <c r="P68" s="164">
        <v>3.5</v>
      </c>
      <c r="Q68" s="246">
        <f>1*P68</f>
        <v>3.5</v>
      </c>
      <c r="R68" s="247">
        <f t="shared" si="43"/>
        <v>17.5</v>
      </c>
      <c r="S68" s="247">
        <f t="shared" si="43"/>
        <v>17.5</v>
      </c>
      <c r="T68" s="247">
        <f t="shared" si="43"/>
        <v>17.5</v>
      </c>
      <c r="U68" s="247">
        <f t="shared" si="43"/>
        <v>17.5</v>
      </c>
      <c r="V68" s="247">
        <f t="shared" si="43"/>
        <v>17.5</v>
      </c>
      <c r="W68" s="247">
        <f t="shared" si="43"/>
        <v>17.5</v>
      </c>
    </row>
    <row r="69" spans="1:23" ht="12" customHeight="1">
      <c r="A69" s="191"/>
      <c r="B69" s="162" t="s">
        <v>820</v>
      </c>
      <c r="C69" s="163">
        <v>1.8</v>
      </c>
      <c r="D69" s="164">
        <v>6.28</v>
      </c>
      <c r="E69" s="246">
        <f>1*D69</f>
        <v>6.28</v>
      </c>
      <c r="F69" s="247">
        <f t="shared" si="42"/>
        <v>11.304</v>
      </c>
      <c r="G69" s="736">
        <f t="shared" si="42"/>
        <v>11.304</v>
      </c>
      <c r="H69" s="247">
        <f t="shared" si="42"/>
        <v>11.304</v>
      </c>
      <c r="I69" s="247">
        <f t="shared" si="42"/>
        <v>11.304</v>
      </c>
      <c r="J69" s="247">
        <f t="shared" si="42"/>
        <v>11.304</v>
      </c>
      <c r="K69" s="247">
        <f t="shared" si="42"/>
        <v>11.304</v>
      </c>
      <c r="M69" s="191"/>
      <c r="N69" s="162" t="s">
        <v>820</v>
      </c>
      <c r="O69" s="163">
        <v>1.8</v>
      </c>
      <c r="P69" s="164">
        <v>6.28</v>
      </c>
      <c r="Q69" s="246">
        <f>1*P69</f>
        <v>6.28</v>
      </c>
      <c r="R69" s="247">
        <f t="shared" si="43"/>
        <v>11.304</v>
      </c>
      <c r="S69" s="247">
        <f t="shared" si="43"/>
        <v>11.304</v>
      </c>
      <c r="T69" s="247">
        <f t="shared" si="43"/>
        <v>11.304</v>
      </c>
      <c r="U69" s="247">
        <f t="shared" si="43"/>
        <v>11.304</v>
      </c>
      <c r="V69" s="247">
        <f t="shared" si="43"/>
        <v>11.304</v>
      </c>
      <c r="W69" s="247">
        <f t="shared" si="43"/>
        <v>11.304</v>
      </c>
    </row>
    <row r="70" spans="1:23" ht="12" customHeight="1">
      <c r="A70" s="191"/>
      <c r="B70" s="162" t="s">
        <v>821</v>
      </c>
      <c r="C70" s="163">
        <v>0.06</v>
      </c>
      <c r="D70" s="164">
        <v>21</v>
      </c>
      <c r="E70" s="246">
        <f>1*D70</f>
        <v>21</v>
      </c>
      <c r="F70" s="247">
        <f t="shared" si="42"/>
        <v>1.26</v>
      </c>
      <c r="G70" s="736">
        <f t="shared" si="42"/>
        <v>1.26</v>
      </c>
      <c r="H70" s="247">
        <f t="shared" si="42"/>
        <v>1.26</v>
      </c>
      <c r="I70" s="247">
        <f t="shared" si="42"/>
        <v>1.26</v>
      </c>
      <c r="J70" s="247">
        <f t="shared" si="42"/>
        <v>1.26</v>
      </c>
      <c r="K70" s="247">
        <f t="shared" si="42"/>
        <v>1.26</v>
      </c>
      <c r="M70" s="191"/>
      <c r="N70" s="162" t="s">
        <v>821</v>
      </c>
      <c r="O70" s="163">
        <v>0.06</v>
      </c>
      <c r="P70" s="164">
        <v>21</v>
      </c>
      <c r="Q70" s="246">
        <f>1*P70</f>
        <v>21</v>
      </c>
      <c r="R70" s="247">
        <f t="shared" si="43"/>
        <v>1.26</v>
      </c>
      <c r="S70" s="247">
        <f t="shared" si="43"/>
        <v>1.26</v>
      </c>
      <c r="T70" s="247">
        <f t="shared" si="43"/>
        <v>1.26</v>
      </c>
      <c r="U70" s="247">
        <f t="shared" si="43"/>
        <v>1.26</v>
      </c>
      <c r="V70" s="247">
        <f t="shared" si="43"/>
        <v>1.26</v>
      </c>
      <c r="W70" s="247">
        <f t="shared" si="43"/>
        <v>1.26</v>
      </c>
    </row>
    <row r="71" spans="1:23" ht="12" customHeight="1">
      <c r="A71" s="191"/>
      <c r="B71" s="162" t="s">
        <v>822</v>
      </c>
      <c r="C71" s="163">
        <f>1.6/80</f>
        <v>0.02</v>
      </c>
      <c r="D71" s="164">
        <f>41.8/4.3</f>
        <v>9.720930232558139</v>
      </c>
      <c r="E71" s="246">
        <f>1*D71</f>
        <v>9.720930232558139</v>
      </c>
      <c r="F71" s="247">
        <f t="shared" si="42"/>
        <v>0.19441860465116279</v>
      </c>
      <c r="G71" s="736">
        <f t="shared" si="42"/>
        <v>0.19441860465116279</v>
      </c>
      <c r="H71" s="247">
        <f t="shared" si="42"/>
        <v>0.19441860465116279</v>
      </c>
      <c r="I71" s="247">
        <f t="shared" si="42"/>
        <v>0.19441860465116279</v>
      </c>
      <c r="J71" s="247">
        <f t="shared" si="42"/>
        <v>0.19441860465116279</v>
      </c>
      <c r="K71" s="247">
        <f t="shared" si="42"/>
        <v>0.19441860465116279</v>
      </c>
      <c r="M71" s="191"/>
      <c r="N71" s="162" t="s">
        <v>822</v>
      </c>
      <c r="O71" s="163">
        <f>1.6/80</f>
        <v>0.02</v>
      </c>
      <c r="P71" s="164">
        <f>41.8/4.3</f>
        <v>9.720930232558139</v>
      </c>
      <c r="Q71" s="246">
        <f>1*P71</f>
        <v>9.720930232558139</v>
      </c>
      <c r="R71" s="247">
        <f t="shared" si="43"/>
        <v>0.19441860465116279</v>
      </c>
      <c r="S71" s="247">
        <f t="shared" si="43"/>
        <v>0.19441860465116279</v>
      </c>
      <c r="T71" s="247">
        <f t="shared" si="43"/>
        <v>0.19441860465116279</v>
      </c>
      <c r="U71" s="247">
        <f t="shared" si="43"/>
        <v>0.19441860465116279</v>
      </c>
      <c r="V71" s="247">
        <f t="shared" si="43"/>
        <v>0.19441860465116279</v>
      </c>
      <c r="W71" s="247">
        <f t="shared" si="43"/>
        <v>0.19441860465116279</v>
      </c>
    </row>
    <row r="72" spans="1:23" ht="12" customHeight="1">
      <c r="A72" s="191"/>
      <c r="B72" s="166" t="s">
        <v>823</v>
      </c>
      <c r="C72" s="166"/>
      <c r="D72" s="167"/>
      <c r="E72" s="681"/>
      <c r="F72" s="167">
        <f aca="true" t="shared" si="44" ref="F72:K72">SUM(F67:F71)</f>
        <v>64.55841860465117</v>
      </c>
      <c r="G72" s="795">
        <f t="shared" si="44"/>
        <v>64.55841860465117</v>
      </c>
      <c r="H72" s="167">
        <f t="shared" si="44"/>
        <v>64.55841860465117</v>
      </c>
      <c r="I72" s="167">
        <f t="shared" si="44"/>
        <v>64.55841860465117</v>
      </c>
      <c r="J72" s="279">
        <f t="shared" si="44"/>
        <v>64.55841860465117</v>
      </c>
      <c r="K72" s="279">
        <f t="shared" si="44"/>
        <v>64.55841860465117</v>
      </c>
      <c r="M72" s="191"/>
      <c r="N72" s="166" t="s">
        <v>823</v>
      </c>
      <c r="O72" s="166"/>
      <c r="P72" s="167"/>
      <c r="Q72" s="681"/>
      <c r="R72" s="739">
        <f aca="true" t="shared" si="45" ref="R72:W72">SUM(R67:R71)</f>
        <v>64.55841860465117</v>
      </c>
      <c r="S72" s="280">
        <f t="shared" si="45"/>
        <v>64.55841860465117</v>
      </c>
      <c r="T72" s="739">
        <f t="shared" si="45"/>
        <v>64.55841860465117</v>
      </c>
      <c r="U72" s="739">
        <f t="shared" si="45"/>
        <v>64.55841860465117</v>
      </c>
      <c r="V72" s="280">
        <f t="shared" si="45"/>
        <v>64.55841860465117</v>
      </c>
      <c r="W72" s="280">
        <f t="shared" si="45"/>
        <v>64.55841860465117</v>
      </c>
    </row>
    <row r="73" spans="1:23" ht="12" customHeight="1">
      <c r="A73" s="191"/>
      <c r="B73" s="180"/>
      <c r="C73" s="180"/>
      <c r="D73" s="171"/>
      <c r="E73" s="157"/>
      <c r="F73" s="171"/>
      <c r="G73" s="244"/>
      <c r="H73" s="157"/>
      <c r="I73" s="157"/>
      <c r="J73" s="244"/>
      <c r="K73" s="244"/>
      <c r="M73" s="191"/>
      <c r="N73" s="180"/>
      <c r="O73" s="180"/>
      <c r="P73" s="171"/>
      <c r="Q73" s="157"/>
      <c r="R73" s="250"/>
      <c r="S73" s="743"/>
      <c r="T73" s="744"/>
      <c r="U73" s="744"/>
      <c r="V73" s="743"/>
      <c r="W73" s="743"/>
    </row>
    <row r="74" spans="1:23" ht="12" customHeight="1">
      <c r="A74" s="191"/>
      <c r="B74" s="166" t="s">
        <v>918</v>
      </c>
      <c r="C74" s="170"/>
      <c r="D74" s="180"/>
      <c r="E74" s="157"/>
      <c r="F74" s="745">
        <f aca="true" t="shared" si="46" ref="F74:K74">F64+F72</f>
        <v>101.45841860465117</v>
      </c>
      <c r="G74" s="796">
        <f t="shared" si="46"/>
        <v>101.45841860465117</v>
      </c>
      <c r="H74" s="745">
        <f t="shared" si="46"/>
        <v>101.45841860465117</v>
      </c>
      <c r="I74" s="745">
        <f t="shared" si="46"/>
        <v>101.45841860465117</v>
      </c>
      <c r="J74" s="746">
        <f t="shared" si="46"/>
        <v>101.45841860465117</v>
      </c>
      <c r="K74" s="746">
        <f t="shared" si="46"/>
        <v>101.45841860465117</v>
      </c>
      <c r="M74" s="191"/>
      <c r="N74" s="166" t="s">
        <v>918</v>
      </c>
      <c r="O74" s="166"/>
      <c r="P74" s="162"/>
      <c r="Q74" s="681"/>
      <c r="R74" s="739">
        <f aca="true" t="shared" si="47" ref="R74:W74">R64+R72</f>
        <v>93.25841860465117</v>
      </c>
      <c r="S74" s="280">
        <f t="shared" si="47"/>
        <v>93.25841860465117</v>
      </c>
      <c r="T74" s="739">
        <f t="shared" si="47"/>
        <v>93.25841860465117</v>
      </c>
      <c r="U74" s="739">
        <f t="shared" si="47"/>
        <v>93.25841860465117</v>
      </c>
      <c r="V74" s="280">
        <f t="shared" si="47"/>
        <v>93.25841860465117</v>
      </c>
      <c r="W74" s="280">
        <f t="shared" si="47"/>
        <v>93.25841860465117</v>
      </c>
    </row>
    <row r="75" spans="1:23" ht="12" customHeight="1">
      <c r="A75" s="191"/>
      <c r="B75" s="170"/>
      <c r="C75" s="170"/>
      <c r="D75" s="180"/>
      <c r="E75" s="157"/>
      <c r="F75" s="745"/>
      <c r="G75" s="746"/>
      <c r="H75" s="745"/>
      <c r="I75" s="745"/>
      <c r="J75" s="746"/>
      <c r="M75" s="191"/>
      <c r="N75" s="170"/>
      <c r="O75" s="170"/>
      <c r="P75" s="180"/>
      <c r="Q75" s="157"/>
      <c r="R75" s="745"/>
      <c r="S75" s="746"/>
      <c r="T75" s="745"/>
      <c r="U75" s="745"/>
      <c r="V75" s="746"/>
      <c r="W75" s="746"/>
    </row>
    <row r="76" spans="1:23" ht="12" customHeight="1" thickBot="1">
      <c r="A76" s="191"/>
      <c r="B76" s="180"/>
      <c r="C76" s="180"/>
      <c r="D76" s="171"/>
      <c r="E76" s="251"/>
      <c r="F76" s="171"/>
      <c r="G76" s="244"/>
      <c r="H76" s="157"/>
      <c r="I76" s="157"/>
      <c r="J76" s="244"/>
      <c r="M76" s="191"/>
      <c r="N76" s="180"/>
      <c r="O76" s="180"/>
      <c r="P76" s="171"/>
      <c r="Q76" s="251"/>
      <c r="R76" s="171"/>
      <c r="S76" s="244"/>
      <c r="T76" s="157"/>
      <c r="U76" s="157"/>
      <c r="V76" s="244"/>
      <c r="W76" s="244"/>
    </row>
    <row r="77" spans="1:23" ht="12" customHeight="1" thickBot="1">
      <c r="A77" s="191"/>
      <c r="B77" s="166" t="s">
        <v>824</v>
      </c>
      <c r="C77" s="170"/>
      <c r="D77" s="250" t="s">
        <v>919</v>
      </c>
      <c r="E77" s="251"/>
      <c r="F77" s="1152" t="s">
        <v>912</v>
      </c>
      <c r="G77" s="1153"/>
      <c r="H77" s="1153"/>
      <c r="I77" s="1153"/>
      <c r="J77" s="1153"/>
      <c r="K77" s="1154"/>
      <c r="M77" s="191"/>
      <c r="N77" s="166" t="s">
        <v>824</v>
      </c>
      <c r="O77" s="170"/>
      <c r="P77" s="250" t="s">
        <v>825</v>
      </c>
      <c r="Q77" s="750"/>
      <c r="R77" s="1135" t="s">
        <v>912</v>
      </c>
      <c r="S77" s="1136"/>
      <c r="T77" s="1136"/>
      <c r="U77" s="1136"/>
      <c r="V77" s="1136"/>
      <c r="W77" s="1137"/>
    </row>
    <row r="78" spans="1:23" ht="12" customHeight="1">
      <c r="A78" s="191"/>
      <c r="B78" s="162" t="s">
        <v>826</v>
      </c>
      <c r="C78" s="172">
        <v>0.1</v>
      </c>
      <c r="D78" s="173">
        <f>C78*D56</f>
        <v>16.25</v>
      </c>
      <c r="E78" s="306">
        <f>1*D78</f>
        <v>16.25</v>
      </c>
      <c r="F78" s="797">
        <f aca="true" t="shared" si="48" ref="F78:K78">$E78*F55/1000</f>
        <v>29.25</v>
      </c>
      <c r="G78" s="798">
        <f t="shared" si="48"/>
        <v>30.0625</v>
      </c>
      <c r="H78" s="797">
        <f t="shared" si="48"/>
        <v>40.625</v>
      </c>
      <c r="I78" s="797">
        <f t="shared" si="48"/>
        <v>45.5</v>
      </c>
      <c r="J78" s="797">
        <f t="shared" si="48"/>
        <v>48.75</v>
      </c>
      <c r="K78" s="797">
        <f t="shared" si="48"/>
        <v>32.5</v>
      </c>
      <c r="M78" s="191"/>
      <c r="N78" s="162" t="s">
        <v>826</v>
      </c>
      <c r="O78" s="172">
        <v>0.1</v>
      </c>
      <c r="P78" s="165">
        <f>O78*$P$56*$T$53</f>
        <v>13.8125</v>
      </c>
      <c r="Q78" s="306">
        <f>1*P78</f>
        <v>13.8125</v>
      </c>
      <c r="R78" s="167">
        <f aca="true" t="shared" si="49" ref="R78:W78">$Q78*R55/1000</f>
        <v>24.8625</v>
      </c>
      <c r="S78" s="167">
        <f t="shared" si="49"/>
        <v>30.3875</v>
      </c>
      <c r="T78" s="167">
        <f t="shared" si="49"/>
        <v>34.53125</v>
      </c>
      <c r="U78" s="167">
        <f t="shared" si="49"/>
        <v>38.675</v>
      </c>
      <c r="V78" s="167">
        <f t="shared" si="49"/>
        <v>41.4375</v>
      </c>
      <c r="W78" s="167">
        <f t="shared" si="49"/>
        <v>33.15</v>
      </c>
    </row>
    <row r="79" spans="1:23" ht="12" customHeight="1">
      <c r="A79" s="191"/>
      <c r="B79" s="162" t="s">
        <v>827</v>
      </c>
      <c r="C79" s="172">
        <v>1</v>
      </c>
      <c r="D79" s="173">
        <f>C79*20</f>
        <v>20</v>
      </c>
      <c r="E79" s="306">
        <f>1*D79</f>
        <v>20</v>
      </c>
      <c r="F79" s="167">
        <f aca="true" t="shared" si="50" ref="F79:K79">$D79*F55/1000</f>
        <v>36</v>
      </c>
      <c r="G79" s="795">
        <f t="shared" si="50"/>
        <v>37</v>
      </c>
      <c r="H79" s="167">
        <f t="shared" si="50"/>
        <v>50</v>
      </c>
      <c r="I79" s="167">
        <f t="shared" si="50"/>
        <v>56</v>
      </c>
      <c r="J79" s="167">
        <f t="shared" si="50"/>
        <v>60</v>
      </c>
      <c r="K79" s="167">
        <f t="shared" si="50"/>
        <v>40</v>
      </c>
      <c r="M79" s="191"/>
      <c r="N79" s="162" t="s">
        <v>827</v>
      </c>
      <c r="O79" s="172">
        <v>1</v>
      </c>
      <c r="P79" s="155">
        <f>O79*20</f>
        <v>20</v>
      </c>
      <c r="Q79" s="155">
        <f>1*P79</f>
        <v>20</v>
      </c>
      <c r="R79" s="167">
        <f aca="true" t="shared" si="51" ref="R79:W79">$Q79*R55/1000</f>
        <v>36</v>
      </c>
      <c r="S79" s="167">
        <f t="shared" si="51"/>
        <v>44</v>
      </c>
      <c r="T79" s="167">
        <f t="shared" si="51"/>
        <v>50</v>
      </c>
      <c r="U79" s="167">
        <f t="shared" si="51"/>
        <v>56</v>
      </c>
      <c r="V79" s="167">
        <f t="shared" si="51"/>
        <v>60</v>
      </c>
      <c r="W79" s="167">
        <f t="shared" si="51"/>
        <v>48</v>
      </c>
    </row>
    <row r="80" spans="1:23" ht="12" customHeight="1">
      <c r="A80" s="191"/>
      <c r="B80" s="174" t="s">
        <v>828</v>
      </c>
      <c r="C80" s="175">
        <v>0.01</v>
      </c>
      <c r="D80" s="173">
        <f>C80*D56</f>
        <v>1.625</v>
      </c>
      <c r="E80" s="306">
        <f>1*D80</f>
        <v>1.625</v>
      </c>
      <c r="F80" s="167">
        <f aca="true" t="shared" si="52" ref="F80:K80">$D80*F55/1000</f>
        <v>2.925</v>
      </c>
      <c r="G80" s="795">
        <f t="shared" si="52"/>
        <v>3.00625</v>
      </c>
      <c r="H80" s="167">
        <f t="shared" si="52"/>
        <v>4.0625</v>
      </c>
      <c r="I80" s="167">
        <f t="shared" si="52"/>
        <v>4.55</v>
      </c>
      <c r="J80" s="279">
        <f t="shared" si="52"/>
        <v>4.875</v>
      </c>
      <c r="K80" s="279">
        <f t="shared" si="52"/>
        <v>3.25</v>
      </c>
      <c r="M80" s="191"/>
      <c r="N80" s="174" t="s">
        <v>828</v>
      </c>
      <c r="O80" s="175">
        <v>0.01</v>
      </c>
      <c r="P80" s="165">
        <f>O80*$P$56*$T$53</f>
        <v>1.3812499999999999</v>
      </c>
      <c r="Q80" s="306">
        <f>1*P80</f>
        <v>1.3812499999999999</v>
      </c>
      <c r="R80" s="167">
        <f aca="true" t="shared" si="53" ref="R80:W80">$Q80*R55/1000</f>
        <v>2.4862499999999996</v>
      </c>
      <c r="S80" s="167">
        <f t="shared" si="53"/>
        <v>3.0387499999999994</v>
      </c>
      <c r="T80" s="167">
        <f t="shared" si="53"/>
        <v>3.4531249999999996</v>
      </c>
      <c r="U80" s="167">
        <f t="shared" si="53"/>
        <v>3.8674999999999997</v>
      </c>
      <c r="V80" s="167">
        <f t="shared" si="53"/>
        <v>4.14375</v>
      </c>
      <c r="W80" s="167">
        <f t="shared" si="53"/>
        <v>3.3149999999999995</v>
      </c>
    </row>
    <row r="81" spans="1:23" ht="12" customHeight="1">
      <c r="A81" s="191"/>
      <c r="B81" s="174" t="s">
        <v>520</v>
      </c>
      <c r="C81" s="175">
        <v>0.00121</v>
      </c>
      <c r="D81" s="173">
        <f>C81*D56</f>
        <v>0.196625</v>
      </c>
      <c r="E81" s="306">
        <f>1*D81</f>
        <v>0.196625</v>
      </c>
      <c r="F81" s="799">
        <f aca="true" t="shared" si="54" ref="F81:K81">$D81*F55/1000</f>
        <v>0.353925</v>
      </c>
      <c r="G81" s="800">
        <f t="shared" si="54"/>
        <v>0.36375624999999995</v>
      </c>
      <c r="H81" s="799">
        <f t="shared" si="54"/>
        <v>0.4915625</v>
      </c>
      <c r="I81" s="799">
        <f t="shared" si="54"/>
        <v>0.55055</v>
      </c>
      <c r="J81" s="801">
        <f t="shared" si="54"/>
        <v>0.589875</v>
      </c>
      <c r="K81" s="801">
        <f t="shared" si="54"/>
        <v>0.39325</v>
      </c>
      <c r="M81" s="191"/>
      <c r="N81" s="174" t="s">
        <v>520</v>
      </c>
      <c r="O81" s="755">
        <v>0.00121</v>
      </c>
      <c r="P81" s="165">
        <f>O81*$P$56*$T$53</f>
        <v>0.16713124999999998</v>
      </c>
      <c r="Q81" s="306">
        <f>1*P81</f>
        <v>0.16713124999999998</v>
      </c>
      <c r="R81" s="167">
        <f aca="true" t="shared" si="55" ref="R81:W81">$Q81*R55/1000</f>
        <v>0.30083624999999997</v>
      </c>
      <c r="S81" s="167">
        <f t="shared" si="55"/>
        <v>0.36768874999999995</v>
      </c>
      <c r="T81" s="167">
        <f t="shared" si="55"/>
        <v>0.41782812499999994</v>
      </c>
      <c r="U81" s="167">
        <f t="shared" si="55"/>
        <v>0.4679675</v>
      </c>
      <c r="V81" s="167">
        <f t="shared" si="55"/>
        <v>0.50139375</v>
      </c>
      <c r="W81" s="167">
        <f t="shared" si="55"/>
        <v>0.40111499999999994</v>
      </c>
    </row>
    <row r="82" spans="1:23" ht="12" customHeight="1">
      <c r="A82" s="191"/>
      <c r="B82" s="166" t="s">
        <v>829</v>
      </c>
      <c r="C82" s="176"/>
      <c r="D82" s="168">
        <f aca="true" t="shared" si="56" ref="D82:K82">SUM(D78:D81)</f>
        <v>38.071625</v>
      </c>
      <c r="E82" s="437">
        <f t="shared" si="56"/>
        <v>38.071625</v>
      </c>
      <c r="F82" s="437">
        <f t="shared" si="56"/>
        <v>68.528925</v>
      </c>
      <c r="G82" s="802">
        <f t="shared" si="56"/>
        <v>70.43250624999999</v>
      </c>
      <c r="H82" s="437">
        <f t="shared" si="56"/>
        <v>95.1790625</v>
      </c>
      <c r="I82" s="437">
        <f t="shared" si="56"/>
        <v>106.60055</v>
      </c>
      <c r="J82" s="803">
        <f t="shared" si="56"/>
        <v>114.214875</v>
      </c>
      <c r="K82" s="803">
        <f t="shared" si="56"/>
        <v>76.14325</v>
      </c>
      <c r="M82" s="191"/>
      <c r="N82" s="166" t="s">
        <v>829</v>
      </c>
      <c r="O82" s="176"/>
      <c r="P82" s="739">
        <f aca="true" t="shared" si="57" ref="P82:W82">SUM(P78:P81)</f>
        <v>35.36088125</v>
      </c>
      <c r="Q82" s="739">
        <f t="shared" si="57"/>
        <v>35.36088125</v>
      </c>
      <c r="R82" s="739">
        <f t="shared" si="57"/>
        <v>63.64958625</v>
      </c>
      <c r="S82" s="280">
        <f t="shared" si="57"/>
        <v>77.79393875</v>
      </c>
      <c r="T82" s="739">
        <f t="shared" si="57"/>
        <v>88.402203125</v>
      </c>
      <c r="U82" s="739">
        <f t="shared" si="57"/>
        <v>99.01046749999999</v>
      </c>
      <c r="V82" s="280">
        <f t="shared" si="57"/>
        <v>106.08264375</v>
      </c>
      <c r="W82" s="280">
        <f t="shared" si="57"/>
        <v>84.86611500000001</v>
      </c>
    </row>
    <row r="83" spans="1:23" ht="12" customHeight="1">
      <c r="A83" s="191"/>
      <c r="B83" s="180"/>
      <c r="C83" s="157"/>
      <c r="D83" s="756"/>
      <c r="E83" s="157"/>
      <c r="F83" s="171"/>
      <c r="G83" s="244"/>
      <c r="H83" s="157"/>
      <c r="I83" s="157"/>
      <c r="J83" s="244"/>
      <c r="K83" s="244"/>
      <c r="M83" s="191"/>
      <c r="N83" s="180"/>
      <c r="O83" s="157"/>
      <c r="P83" s="756"/>
      <c r="Q83" s="157"/>
      <c r="R83" s="171"/>
      <c r="S83" s="244"/>
      <c r="T83" s="157"/>
      <c r="U83" s="157"/>
      <c r="V83" s="244"/>
      <c r="W83" s="244"/>
    </row>
    <row r="84" spans="1:23" ht="12" customHeight="1">
      <c r="A84" s="191"/>
      <c r="B84" s="757" t="s">
        <v>921</v>
      </c>
      <c r="C84" s="758"/>
      <c r="D84" s="759"/>
      <c r="E84" s="157"/>
      <c r="F84" s="804">
        <f aca="true" t="shared" si="58" ref="F84:K84">F64+F72+F82</f>
        <v>169.9873436046512</v>
      </c>
      <c r="G84" s="761">
        <f t="shared" si="58"/>
        <v>171.89092485465116</v>
      </c>
      <c r="H84" s="804">
        <f t="shared" si="58"/>
        <v>196.63748110465116</v>
      </c>
      <c r="I84" s="804">
        <f t="shared" si="58"/>
        <v>208.05896860465117</v>
      </c>
      <c r="J84" s="760">
        <f t="shared" si="58"/>
        <v>215.67329360465118</v>
      </c>
      <c r="K84" s="760">
        <f t="shared" si="58"/>
        <v>177.60166860465117</v>
      </c>
      <c r="M84" s="191"/>
      <c r="N84" s="757" t="s">
        <v>921</v>
      </c>
      <c r="O84" s="757"/>
      <c r="P84" s="805"/>
      <c r="Q84" s="681"/>
      <c r="R84" s="739">
        <f aca="true" t="shared" si="59" ref="R84:W84">R64+R72+R82</f>
        <v>156.90800485465115</v>
      </c>
      <c r="S84" s="280">
        <f t="shared" si="59"/>
        <v>171.05235735465118</v>
      </c>
      <c r="T84" s="739">
        <f t="shared" si="59"/>
        <v>181.66062172965115</v>
      </c>
      <c r="U84" s="739">
        <f t="shared" si="59"/>
        <v>192.26888610465116</v>
      </c>
      <c r="V84" s="280">
        <f t="shared" si="59"/>
        <v>199.34106235465117</v>
      </c>
      <c r="W84" s="280">
        <f t="shared" si="59"/>
        <v>178.12453360465116</v>
      </c>
    </row>
    <row r="85" spans="1:23" ht="12" customHeight="1">
      <c r="A85" s="191"/>
      <c r="B85" s="206" t="s">
        <v>922</v>
      </c>
      <c r="C85" s="255"/>
      <c r="D85" s="256"/>
      <c r="E85" s="157"/>
      <c r="F85" s="806">
        <f aca="true" t="shared" si="60" ref="F85:K85">F57-F84</f>
        <v>122.51265639534881</v>
      </c>
      <c r="G85" s="807">
        <f t="shared" si="60"/>
        <v>128.73407514534884</v>
      </c>
      <c r="H85" s="806">
        <f t="shared" si="60"/>
        <v>209.61251889534884</v>
      </c>
      <c r="I85" s="806">
        <f t="shared" si="60"/>
        <v>246.94103139534883</v>
      </c>
      <c r="J85" s="806">
        <f t="shared" si="60"/>
        <v>271.8267063953488</v>
      </c>
      <c r="K85" s="806">
        <f t="shared" si="60"/>
        <v>147.39833139534883</v>
      </c>
      <c r="M85" s="191"/>
      <c r="N85" s="206" t="s">
        <v>922</v>
      </c>
      <c r="O85" s="176"/>
      <c r="P85" s="808"/>
      <c r="Q85" s="681"/>
      <c r="R85" s="739">
        <f aca="true" t="shared" si="61" ref="R85:W85">R57-R84</f>
        <v>91.71699514534885</v>
      </c>
      <c r="S85" s="280">
        <f t="shared" si="61"/>
        <v>132.82264264534882</v>
      </c>
      <c r="T85" s="739">
        <f t="shared" si="61"/>
        <v>163.65187827034885</v>
      </c>
      <c r="U85" s="739">
        <f t="shared" si="61"/>
        <v>194.48111389534884</v>
      </c>
      <c r="V85" s="739">
        <f t="shared" si="61"/>
        <v>215.03393764534883</v>
      </c>
      <c r="W85" s="739">
        <f t="shared" si="61"/>
        <v>153.37546639534884</v>
      </c>
    </row>
    <row r="86" spans="1:23" ht="12" customHeight="1" thickBot="1">
      <c r="A86" s="191"/>
      <c r="B86" s="258" t="s">
        <v>923</v>
      </c>
      <c r="C86" s="258"/>
      <c r="D86" s="771">
        <f>(F74)/(D56-D82)*1000</f>
        <v>815.3961554561101</v>
      </c>
      <c r="G86" s="65"/>
      <c r="M86" s="191"/>
      <c r="N86" s="215"/>
      <c r="O86" s="215"/>
      <c r="P86" s="215"/>
      <c r="Q86" s="809"/>
      <c r="R86" s="810"/>
      <c r="S86" s="810"/>
      <c r="T86" s="810"/>
      <c r="U86" s="810"/>
      <c r="V86" s="810"/>
      <c r="W86" s="810"/>
    </row>
    <row r="87" spans="1:23" ht="12" customHeight="1" thickBot="1">
      <c r="A87" s="191"/>
      <c r="B87" s="260" t="s">
        <v>924</v>
      </c>
      <c r="C87" s="261"/>
      <c r="D87" s="261"/>
      <c r="E87" s="261"/>
      <c r="F87" s="811">
        <f aca="true" t="shared" si="62" ref="F87:K87">(F74+$D$79*F55/1000)/((F55/1000-F55/1000*($C$78+$C$80+$C$81)))</f>
        <v>85.92107034698309</v>
      </c>
      <c r="G87" s="812">
        <f t="shared" si="62"/>
        <v>84.20705502418635</v>
      </c>
      <c r="H87" s="811">
        <f t="shared" si="62"/>
        <v>68.16387160280884</v>
      </c>
      <c r="I87" s="811">
        <f t="shared" si="62"/>
        <v>63.27158215288329</v>
      </c>
      <c r="J87" s="813">
        <f t="shared" si="62"/>
        <v>60.5536435695913</v>
      </c>
      <c r="K87" s="813">
        <f t="shared" si="62"/>
        <v>79.57921365263515</v>
      </c>
      <c r="M87" s="191"/>
      <c r="N87" s="176" t="s">
        <v>923</v>
      </c>
      <c r="O87" s="814"/>
      <c r="P87" s="815">
        <f>(R74)/(P56*T53-P82)*1000</f>
        <v>907.4998135441235</v>
      </c>
      <c r="R87" s="744"/>
      <c r="S87" s="744"/>
      <c r="T87" s="744"/>
      <c r="U87" s="744"/>
      <c r="V87" s="744"/>
      <c r="W87" s="744"/>
    </row>
    <row r="88" spans="1:23" ht="12" customHeight="1" thickBot="1">
      <c r="A88" s="191"/>
      <c r="M88" s="191"/>
      <c r="N88" s="260" t="s">
        <v>924</v>
      </c>
      <c r="O88" s="261"/>
      <c r="P88" s="261"/>
      <c r="Q88" s="261"/>
      <c r="R88" s="263">
        <f aca="true" t="shared" si="63" ref="R88:W88">(R74+$P$79*R55/1000)/((R55/1000-(R55/1000*($O$78+$O$80+$O$81))))/$T$53</f>
        <v>95.05352956152488</v>
      </c>
      <c r="S88" s="263">
        <f t="shared" si="63"/>
        <v>82.58443935322701</v>
      </c>
      <c r="T88" s="263">
        <f t="shared" si="63"/>
        <v>75.85113064074618</v>
      </c>
      <c r="U88" s="263">
        <f t="shared" si="63"/>
        <v>70.56067379522551</v>
      </c>
      <c r="V88" s="263">
        <f t="shared" si="63"/>
        <v>67.62153110326959</v>
      </c>
      <c r="W88" s="263">
        <f t="shared" si="63"/>
        <v>77.90853052511532</v>
      </c>
    </row>
    <row r="89" spans="1:14" ht="12.75">
      <c r="A89" s="191"/>
      <c r="B89" s="776" t="s">
        <v>521</v>
      </c>
      <c r="N89" s="776" t="s">
        <v>521</v>
      </c>
    </row>
    <row r="90" spans="1:13" ht="12.75">
      <c r="A90" s="191"/>
      <c r="M90" s="191"/>
    </row>
    <row r="91" spans="1:23" ht="12.75">
      <c r="A91" s="777"/>
      <c r="B91" s="779"/>
      <c r="C91" s="779"/>
      <c r="D91" s="779"/>
      <c r="E91" s="779"/>
      <c r="F91" s="779"/>
      <c r="G91" s="779"/>
      <c r="H91" s="779"/>
      <c r="I91" s="779"/>
      <c r="J91" s="779"/>
      <c r="K91" s="779"/>
      <c r="L91" s="779"/>
      <c r="M91" s="777"/>
      <c r="N91" s="779"/>
      <c r="O91" s="779"/>
      <c r="P91" s="779"/>
      <c r="Q91" s="779"/>
      <c r="R91" s="779"/>
      <c r="S91" s="779"/>
      <c r="T91" s="779"/>
      <c r="U91" s="779"/>
      <c r="V91" s="779"/>
      <c r="W91" s="779"/>
    </row>
    <row r="92" spans="1:13" ht="12.75">
      <c r="A92" s="191"/>
      <c r="M92" s="191"/>
    </row>
    <row r="93" spans="1:13" ht="12.75">
      <c r="A93" s="191"/>
      <c r="M93" s="191"/>
    </row>
    <row r="94" spans="1:23" ht="15.75">
      <c r="A94" s="1131" t="s">
        <v>527</v>
      </c>
      <c r="B94" s="1131"/>
      <c r="C94" s="1131"/>
      <c r="D94" s="1131"/>
      <c r="E94" s="1131"/>
      <c r="F94" s="1131"/>
      <c r="G94" s="1131"/>
      <c r="H94" s="1131"/>
      <c r="I94" s="1131"/>
      <c r="J94" s="1131"/>
      <c r="K94" s="1131"/>
      <c r="M94" s="1131" t="s">
        <v>513</v>
      </c>
      <c r="N94" s="1131"/>
      <c r="O94" s="1131"/>
      <c r="P94" s="1131"/>
      <c r="Q94" s="1131"/>
      <c r="R94" s="1131"/>
      <c r="S94" s="1131"/>
      <c r="T94" s="1131"/>
      <c r="U94" s="1131"/>
      <c r="V94" s="1131"/>
      <c r="W94" s="1131"/>
    </row>
    <row r="95" spans="1:18" ht="12.75">
      <c r="A95" s="191"/>
      <c r="B95" s="704" t="s">
        <v>898</v>
      </c>
      <c r="C95" s="705" t="s">
        <v>286</v>
      </c>
      <c r="E95" s="194"/>
      <c r="F95" s="194"/>
      <c r="M95" s="191"/>
      <c r="N95" s="192" t="s">
        <v>898</v>
      </c>
      <c r="O95" s="193" t="s">
        <v>286</v>
      </c>
      <c r="Q95" s="194"/>
      <c r="R95" s="194"/>
    </row>
    <row r="96" spans="1:17" ht="12.75">
      <c r="A96" s="191"/>
      <c r="B96" s="706" t="s">
        <v>899</v>
      </c>
      <c r="C96" s="816"/>
      <c r="E96" s="196" t="s">
        <v>287</v>
      </c>
      <c r="M96" s="191"/>
      <c r="N96" s="195" t="s">
        <v>899</v>
      </c>
      <c r="O96" s="157">
        <v>480</v>
      </c>
      <c r="Q96" s="196" t="s">
        <v>287</v>
      </c>
    </row>
    <row r="97" spans="1:22" ht="12" customHeight="1" thickBot="1">
      <c r="A97" s="191"/>
      <c r="B97" s="197"/>
      <c r="C97" s="197"/>
      <c r="D97" s="197"/>
      <c r="F97" s="1143" t="s">
        <v>282</v>
      </c>
      <c r="G97" s="1144"/>
      <c r="H97" s="1144"/>
      <c r="I97" s="1144"/>
      <c r="J97" s="1144"/>
      <c r="K97" s="1145"/>
      <c r="M97" s="191"/>
      <c r="N97" s="197"/>
      <c r="O97" s="197"/>
      <c r="P97" s="197"/>
      <c r="R97" s="180"/>
      <c r="S97" s="25" t="s">
        <v>327</v>
      </c>
      <c r="T97" s="198">
        <v>0.85</v>
      </c>
      <c r="U97" s="157"/>
      <c r="V97" s="157"/>
    </row>
    <row r="98" spans="1:23" ht="12" customHeight="1" thickBot="1">
      <c r="A98" s="191"/>
      <c r="B98" s="708" t="s">
        <v>901</v>
      </c>
      <c r="C98" s="709"/>
      <c r="D98" s="201" t="s">
        <v>902</v>
      </c>
      <c r="F98" s="1155" t="s">
        <v>903</v>
      </c>
      <c r="G98" s="1156"/>
      <c r="H98" s="1156"/>
      <c r="I98" s="1156"/>
      <c r="J98" s="1157"/>
      <c r="K98" s="817" t="s">
        <v>904</v>
      </c>
      <c r="M98" s="191"/>
      <c r="N98" s="199" t="s">
        <v>901</v>
      </c>
      <c r="O98" s="200"/>
      <c r="P98" s="201" t="s">
        <v>902</v>
      </c>
      <c r="R98" s="1132" t="s">
        <v>903</v>
      </c>
      <c r="S98" s="1133"/>
      <c r="T98" s="1133"/>
      <c r="U98" s="1133"/>
      <c r="V98" s="1134"/>
      <c r="W98" s="712" t="s">
        <v>904</v>
      </c>
    </row>
    <row r="99" spans="1:23" ht="12" customHeight="1">
      <c r="A99" s="191"/>
      <c r="B99" s="713"/>
      <c r="C99" s="714"/>
      <c r="D99" s="206" t="s">
        <v>905</v>
      </c>
      <c r="F99" s="818">
        <v>3800</v>
      </c>
      <c r="G99" s="208">
        <v>4000</v>
      </c>
      <c r="H99" s="207">
        <v>4200</v>
      </c>
      <c r="I99" s="209">
        <v>4500</v>
      </c>
      <c r="J99" s="210">
        <v>4800</v>
      </c>
      <c r="K99" s="159">
        <v>4251</v>
      </c>
      <c r="M99" s="191"/>
      <c r="N99" s="204"/>
      <c r="O99" s="205"/>
      <c r="P99" s="206" t="s">
        <v>905</v>
      </c>
      <c r="R99" s="207">
        <v>3800</v>
      </c>
      <c r="S99" s="208">
        <v>4000</v>
      </c>
      <c r="T99" s="207">
        <v>4200</v>
      </c>
      <c r="U99" s="209">
        <v>4500</v>
      </c>
      <c r="V99" s="210">
        <v>4800</v>
      </c>
      <c r="W99" s="159">
        <v>4300</v>
      </c>
    </row>
    <row r="100" spans="1:22" ht="12" customHeight="1">
      <c r="A100" s="191"/>
      <c r="B100" s="180" t="s">
        <v>906</v>
      </c>
      <c r="C100" s="211"/>
      <c r="D100" s="212">
        <v>58.5</v>
      </c>
      <c r="F100" s="819"/>
      <c r="G100" s="214"/>
      <c r="H100" s="215"/>
      <c r="I100" s="215"/>
      <c r="J100" s="214"/>
      <c r="M100" s="191"/>
      <c r="N100" s="180" t="s">
        <v>906</v>
      </c>
      <c r="O100" s="211"/>
      <c r="P100" s="212">
        <v>58.5</v>
      </c>
      <c r="R100" s="213"/>
      <c r="S100" s="214"/>
      <c r="T100" s="215"/>
      <c r="U100" s="215"/>
      <c r="V100" s="214"/>
    </row>
    <row r="101" spans="1:23" ht="12" customHeight="1">
      <c r="A101" s="191"/>
      <c r="B101" s="216" t="s">
        <v>907</v>
      </c>
      <c r="C101" s="217"/>
      <c r="D101" s="218"/>
      <c r="F101" s="722">
        <f aca="true" t="shared" si="64" ref="F101:K101">F99*$D$100/1000</f>
        <v>222.3</v>
      </c>
      <c r="G101" s="219">
        <f t="shared" si="64"/>
        <v>234</v>
      </c>
      <c r="H101" s="219">
        <f t="shared" si="64"/>
        <v>245.7</v>
      </c>
      <c r="I101" s="219">
        <f t="shared" si="64"/>
        <v>263.25</v>
      </c>
      <c r="J101" s="219">
        <f t="shared" si="64"/>
        <v>280.8</v>
      </c>
      <c r="K101" s="219">
        <f t="shared" si="64"/>
        <v>248.6835</v>
      </c>
      <c r="M101" s="191"/>
      <c r="N101" s="216" t="s">
        <v>907</v>
      </c>
      <c r="O101" s="217"/>
      <c r="P101" s="218"/>
      <c r="R101" s="219">
        <f aca="true" t="shared" si="65" ref="R101:W101">R99*$P$100/1000*$T$97</f>
        <v>188.955</v>
      </c>
      <c r="S101" s="219">
        <f t="shared" si="65"/>
        <v>198.9</v>
      </c>
      <c r="T101" s="219">
        <f t="shared" si="65"/>
        <v>208.845</v>
      </c>
      <c r="U101" s="219">
        <f t="shared" si="65"/>
        <v>223.7625</v>
      </c>
      <c r="V101" s="219">
        <f t="shared" si="65"/>
        <v>238.68</v>
      </c>
      <c r="W101" s="219">
        <f t="shared" si="65"/>
        <v>213.8175</v>
      </c>
    </row>
    <row r="102" spans="1:23" ht="12" customHeight="1" thickBot="1">
      <c r="A102" s="191"/>
      <c r="B102" s="216" t="s">
        <v>908</v>
      </c>
      <c r="C102" s="217"/>
      <c r="D102" s="220"/>
      <c r="F102" s="221"/>
      <c r="G102" s="222"/>
      <c r="J102" s="65"/>
      <c r="M102" s="191"/>
      <c r="N102" s="216" t="s">
        <v>908</v>
      </c>
      <c r="O102" s="217"/>
      <c r="P102" s="220"/>
      <c r="R102" s="221"/>
      <c r="S102" s="222"/>
      <c r="V102" s="65"/>
      <c r="W102" s="65"/>
    </row>
    <row r="103" spans="1:23" ht="12" customHeight="1" thickBot="1">
      <c r="A103" s="191"/>
      <c r="B103" s="724" t="s">
        <v>909</v>
      </c>
      <c r="C103" s="164">
        <v>14</v>
      </c>
      <c r="G103" s="224"/>
      <c r="J103" s="65"/>
      <c r="M103" s="191"/>
      <c r="N103" s="724" t="s">
        <v>909</v>
      </c>
      <c r="O103" s="164">
        <v>14</v>
      </c>
      <c r="S103" s="224"/>
      <c r="V103" s="65"/>
      <c r="W103" s="65"/>
    </row>
    <row r="104" spans="1:23" ht="12" customHeight="1" thickBot="1">
      <c r="A104" s="155" t="s">
        <v>512</v>
      </c>
      <c r="B104" s="726"/>
      <c r="C104" s="227" t="s">
        <v>817</v>
      </c>
      <c r="D104" s="219" t="s">
        <v>910</v>
      </c>
      <c r="E104" s="727" t="s">
        <v>911</v>
      </c>
      <c r="F104" s="1135" t="s">
        <v>912</v>
      </c>
      <c r="G104" s="1136"/>
      <c r="H104" s="1136"/>
      <c r="I104" s="1136"/>
      <c r="J104" s="1136"/>
      <c r="K104" s="1137"/>
      <c r="M104" s="191"/>
      <c r="N104" s="726"/>
      <c r="O104" s="227" t="s">
        <v>817</v>
      </c>
      <c r="P104" s="219" t="s">
        <v>910</v>
      </c>
      <c r="Q104" s="160" t="s">
        <v>911</v>
      </c>
      <c r="R104" s="1135" t="s">
        <v>912</v>
      </c>
      <c r="S104" s="1136"/>
      <c r="T104" s="1136"/>
      <c r="U104" s="1136"/>
      <c r="V104" s="1136"/>
      <c r="W104" s="1137"/>
    </row>
    <row r="105" spans="1:23" ht="12" customHeight="1">
      <c r="A105" s="225">
        <v>11</v>
      </c>
      <c r="B105" s="784" t="str">
        <f>IF($A105&lt;&gt;0,VLOOKUP($A105,equi,2),"")</f>
        <v>Cultivador de Campo</v>
      </c>
      <c r="C105" s="232">
        <v>1</v>
      </c>
      <c r="D105" s="235">
        <f>IF($A105&lt;&gt;0,VLOOKUP($A105,equi,3),"")</f>
        <v>0.45</v>
      </c>
      <c r="E105" s="165">
        <f>D105*$C$103</f>
        <v>6.3</v>
      </c>
      <c r="F105" s="783">
        <f aca="true" t="shared" si="66" ref="F105:K109">$E105*$C105</f>
        <v>6.3</v>
      </c>
      <c r="G105" s="782">
        <f t="shared" si="66"/>
        <v>6.3</v>
      </c>
      <c r="H105" s="782">
        <f t="shared" si="66"/>
        <v>6.3</v>
      </c>
      <c r="I105" s="782">
        <f t="shared" si="66"/>
        <v>6.3</v>
      </c>
      <c r="J105" s="782">
        <f t="shared" si="66"/>
        <v>6.3</v>
      </c>
      <c r="K105" s="782">
        <f t="shared" si="66"/>
        <v>6.3</v>
      </c>
      <c r="M105" s="225">
        <v>11</v>
      </c>
      <c r="N105" s="234" t="str">
        <f>IF($M105&lt;&gt;0,VLOOKUP($M105,equi,2),"")</f>
        <v>Cultivador de Campo</v>
      </c>
      <c r="O105" s="232">
        <v>1</v>
      </c>
      <c r="P105" s="235">
        <f>IF($M105&lt;&gt;0,VLOOKUP($M105,equi,3),"")</f>
        <v>0.45</v>
      </c>
      <c r="Q105" s="165">
        <f>$P105*$O$103</f>
        <v>6.3</v>
      </c>
      <c r="R105" s="233">
        <f aca="true" t="shared" si="67" ref="R105:W109">$Q105*$O105</f>
        <v>6.3</v>
      </c>
      <c r="S105" s="233">
        <f t="shared" si="67"/>
        <v>6.3</v>
      </c>
      <c r="T105" s="233">
        <f t="shared" si="67"/>
        <v>6.3</v>
      </c>
      <c r="U105" s="233">
        <f t="shared" si="67"/>
        <v>6.3</v>
      </c>
      <c r="V105" s="233">
        <f t="shared" si="67"/>
        <v>6.3</v>
      </c>
      <c r="W105" s="233">
        <f t="shared" si="67"/>
        <v>6.3</v>
      </c>
    </row>
    <row r="106" spans="1:23" ht="12" customHeight="1">
      <c r="A106" s="225">
        <v>16</v>
      </c>
      <c r="B106" s="784" t="str">
        <f>IF($A106&lt;&gt;0,VLOOKUP($A106,equi,2),"")</f>
        <v>Siembra Gruesa Convencional</v>
      </c>
      <c r="C106" s="232">
        <v>1</v>
      </c>
      <c r="D106" s="235">
        <f>IF($A106&lt;&gt;0,VLOOKUP($A106,equi,3),"")</f>
        <v>0.45</v>
      </c>
      <c r="E106" s="165">
        <f>D106*$C$103</f>
        <v>6.3</v>
      </c>
      <c r="F106" s="786">
        <f t="shared" si="66"/>
        <v>6.3</v>
      </c>
      <c r="G106" s="785">
        <f t="shared" si="66"/>
        <v>6.3</v>
      </c>
      <c r="H106" s="785">
        <f t="shared" si="66"/>
        <v>6.3</v>
      </c>
      <c r="I106" s="785">
        <f t="shared" si="66"/>
        <v>6.3</v>
      </c>
      <c r="J106" s="785">
        <f t="shared" si="66"/>
        <v>6.3</v>
      </c>
      <c r="K106" s="785">
        <f t="shared" si="66"/>
        <v>6.3</v>
      </c>
      <c r="M106" s="225">
        <v>16</v>
      </c>
      <c r="N106" s="234" t="str">
        <f>IF($M106&lt;&gt;0,VLOOKUP($M106,equi,2),"")</f>
        <v>Siembra Gruesa Convencional</v>
      </c>
      <c r="O106" s="232">
        <v>1</v>
      </c>
      <c r="P106" s="235">
        <f>IF($M106&lt;&gt;0,VLOOKUP($M106,equi,3),"")</f>
        <v>0.45</v>
      </c>
      <c r="Q106" s="165">
        <f>P106*$O$103</f>
        <v>6.3</v>
      </c>
      <c r="R106" s="233">
        <f t="shared" si="67"/>
        <v>6.3</v>
      </c>
      <c r="S106" s="233">
        <f t="shared" si="67"/>
        <v>6.3</v>
      </c>
      <c r="T106" s="233">
        <f t="shared" si="67"/>
        <v>6.3</v>
      </c>
      <c r="U106" s="233">
        <f t="shared" si="67"/>
        <v>6.3</v>
      </c>
      <c r="V106" s="233">
        <f t="shared" si="67"/>
        <v>6.3</v>
      </c>
      <c r="W106" s="233">
        <f t="shared" si="67"/>
        <v>6.3</v>
      </c>
    </row>
    <row r="107" spans="1:23" ht="12" customHeight="1">
      <c r="A107" s="225">
        <v>22</v>
      </c>
      <c r="B107" s="784" t="str">
        <f>IF($A107&lt;&gt;0,VLOOKUP($A107,equi,2),"")</f>
        <v>Pulverización Terrestre p/Herbicidas y Defoliantes</v>
      </c>
      <c r="C107" s="232">
        <v>1</v>
      </c>
      <c r="D107" s="235">
        <f>IF($A107&lt;&gt;0,VLOOKUP($A107,equi,3),"")</f>
        <v>0.25</v>
      </c>
      <c r="E107" s="165">
        <f>D107*$C$103</f>
        <v>3.5</v>
      </c>
      <c r="F107" s="786">
        <f t="shared" si="66"/>
        <v>3.5</v>
      </c>
      <c r="G107" s="785">
        <f t="shared" si="66"/>
        <v>3.5</v>
      </c>
      <c r="H107" s="785">
        <f t="shared" si="66"/>
        <v>3.5</v>
      </c>
      <c r="I107" s="785">
        <f t="shared" si="66"/>
        <v>3.5</v>
      </c>
      <c r="J107" s="785">
        <f t="shared" si="66"/>
        <v>3.5</v>
      </c>
      <c r="K107" s="785">
        <f t="shared" si="66"/>
        <v>3.5</v>
      </c>
      <c r="M107" s="225">
        <v>22</v>
      </c>
      <c r="N107" s="234" t="str">
        <f>IF($M107&lt;&gt;0,VLOOKUP($M107,equi,2),"")</f>
        <v>Pulverización Terrestre p/Herbicidas y Defoliantes</v>
      </c>
      <c r="O107" s="232">
        <v>1</v>
      </c>
      <c r="P107" s="235">
        <f>IF($M107&lt;&gt;0,VLOOKUP($M107,equi,3),"")</f>
        <v>0.25</v>
      </c>
      <c r="Q107" s="165">
        <f>P107*$O$103</f>
        <v>3.5</v>
      </c>
      <c r="R107" s="233">
        <f t="shared" si="67"/>
        <v>3.5</v>
      </c>
      <c r="S107" s="233">
        <f t="shared" si="67"/>
        <v>3.5</v>
      </c>
      <c r="T107" s="233">
        <f t="shared" si="67"/>
        <v>3.5</v>
      </c>
      <c r="U107" s="233">
        <f t="shared" si="67"/>
        <v>3.5</v>
      </c>
      <c r="V107" s="233">
        <f t="shared" si="67"/>
        <v>3.5</v>
      </c>
      <c r="W107" s="233">
        <f t="shared" si="67"/>
        <v>3.5</v>
      </c>
    </row>
    <row r="108" spans="1:23" ht="12" customHeight="1">
      <c r="A108" s="225">
        <v>23</v>
      </c>
      <c r="B108" s="784" t="str">
        <f>IF($A108&lt;&gt;0,VLOOKUP($A108,equi,2),"")</f>
        <v>Pulverización Terrestre p/Insecticidas</v>
      </c>
      <c r="C108" s="232">
        <v>2</v>
      </c>
      <c r="D108" s="235">
        <f>IF($A108&lt;&gt;0,VLOOKUP($A108,equi,3),"")</f>
        <v>0.3</v>
      </c>
      <c r="E108" s="165">
        <f>D108*$C$103</f>
        <v>4.2</v>
      </c>
      <c r="F108" s="786">
        <f t="shared" si="66"/>
        <v>8.4</v>
      </c>
      <c r="G108" s="785">
        <f t="shared" si="66"/>
        <v>8.4</v>
      </c>
      <c r="H108" s="785">
        <f t="shared" si="66"/>
        <v>8.4</v>
      </c>
      <c r="I108" s="785">
        <f t="shared" si="66"/>
        <v>8.4</v>
      </c>
      <c r="J108" s="785">
        <f t="shared" si="66"/>
        <v>8.4</v>
      </c>
      <c r="K108" s="785">
        <f t="shared" si="66"/>
        <v>8.4</v>
      </c>
      <c r="M108" s="225">
        <v>23</v>
      </c>
      <c r="N108" s="234" t="str">
        <f>IF($M108&lt;&gt;0,VLOOKUP($M108,equi,2),"")</f>
        <v>Pulverización Terrestre p/Insecticidas</v>
      </c>
      <c r="O108" s="232">
        <v>2</v>
      </c>
      <c r="P108" s="235">
        <f>IF($M108&lt;&gt;0,VLOOKUP($M108,equi,3),"")</f>
        <v>0.3</v>
      </c>
      <c r="Q108" s="165">
        <f>P108*$O$103</f>
        <v>4.2</v>
      </c>
      <c r="R108" s="233">
        <f t="shared" si="67"/>
        <v>8.4</v>
      </c>
      <c r="S108" s="233">
        <f t="shared" si="67"/>
        <v>8.4</v>
      </c>
      <c r="T108" s="233">
        <f t="shared" si="67"/>
        <v>8.4</v>
      </c>
      <c r="U108" s="233">
        <f t="shared" si="67"/>
        <v>8.4</v>
      </c>
      <c r="V108" s="233">
        <f t="shared" si="67"/>
        <v>8.4</v>
      </c>
      <c r="W108" s="233">
        <f t="shared" si="67"/>
        <v>8.4</v>
      </c>
    </row>
    <row r="109" spans="1:23" ht="12" customHeight="1">
      <c r="A109" s="225">
        <v>20</v>
      </c>
      <c r="B109" s="784" t="str">
        <f>IF($A109&lt;&gt;0,VLOOKUP($A109,equi,2),"")</f>
        <v>Escardillo</v>
      </c>
      <c r="C109" s="232">
        <v>1</v>
      </c>
      <c r="D109" s="235">
        <f>IF($A109&lt;&gt;0,VLOOKUP($A109,equi,3),"")</f>
        <v>0.4</v>
      </c>
      <c r="E109" s="165">
        <f>D109*$C$103</f>
        <v>5.6000000000000005</v>
      </c>
      <c r="F109" s="786">
        <f t="shared" si="66"/>
        <v>5.6000000000000005</v>
      </c>
      <c r="G109" s="785">
        <f t="shared" si="66"/>
        <v>5.6000000000000005</v>
      </c>
      <c r="H109" s="785">
        <f t="shared" si="66"/>
        <v>5.6000000000000005</v>
      </c>
      <c r="I109" s="785">
        <f t="shared" si="66"/>
        <v>5.6000000000000005</v>
      </c>
      <c r="J109" s="785">
        <f t="shared" si="66"/>
        <v>5.6000000000000005</v>
      </c>
      <c r="K109" s="785">
        <f t="shared" si="66"/>
        <v>5.6000000000000005</v>
      </c>
      <c r="M109" s="225">
        <v>20</v>
      </c>
      <c r="N109" s="234" t="str">
        <f>IF($M109&lt;&gt;0,VLOOKUP($M109,equi,2),"")</f>
        <v>Escardillo</v>
      </c>
      <c r="O109" s="232">
        <v>1</v>
      </c>
      <c r="P109" s="235">
        <f>IF($M109&lt;&gt;0,VLOOKUP($M109,equi,3),"")</f>
        <v>0.4</v>
      </c>
      <c r="Q109" s="165">
        <f>P109*$O$103</f>
        <v>5.6000000000000005</v>
      </c>
      <c r="R109" s="233">
        <f t="shared" si="67"/>
        <v>5.6000000000000005</v>
      </c>
      <c r="S109" s="233">
        <f t="shared" si="67"/>
        <v>5.6000000000000005</v>
      </c>
      <c r="T109" s="233">
        <f t="shared" si="67"/>
        <v>5.6000000000000005</v>
      </c>
      <c r="U109" s="233">
        <f t="shared" si="67"/>
        <v>5.6000000000000005</v>
      </c>
      <c r="V109" s="233">
        <f t="shared" si="67"/>
        <v>5.6000000000000005</v>
      </c>
      <c r="W109" s="233">
        <f t="shared" si="67"/>
        <v>5.6000000000000005</v>
      </c>
    </row>
    <row r="110" spans="1:23" ht="12" customHeight="1">
      <c r="A110" s="191"/>
      <c r="B110" s="166" t="s">
        <v>913</v>
      </c>
      <c r="C110" s="166"/>
      <c r="D110" s="236"/>
      <c r="E110" s="237"/>
      <c r="F110" s="820">
        <f aca="true" t="shared" si="68" ref="F110:K110">SUM(F105:F109)</f>
        <v>30.1</v>
      </c>
      <c r="G110" s="239">
        <f t="shared" si="68"/>
        <v>30.1</v>
      </c>
      <c r="H110" s="240">
        <f t="shared" si="68"/>
        <v>30.1</v>
      </c>
      <c r="I110" s="240">
        <f t="shared" si="68"/>
        <v>30.1</v>
      </c>
      <c r="J110" s="239">
        <f t="shared" si="68"/>
        <v>30.1</v>
      </c>
      <c r="K110" s="239">
        <f t="shared" si="68"/>
        <v>30.1</v>
      </c>
      <c r="M110" s="191"/>
      <c r="N110" s="166" t="s">
        <v>913</v>
      </c>
      <c r="O110" s="166"/>
      <c r="P110" s="236"/>
      <c r="Q110" s="237"/>
      <c r="R110" s="238">
        <f aca="true" t="shared" si="69" ref="R110:W110">SUM(R105:R109)</f>
        <v>30.1</v>
      </c>
      <c r="S110" s="239">
        <f t="shared" si="69"/>
        <v>30.1</v>
      </c>
      <c r="T110" s="240">
        <f t="shared" si="69"/>
        <v>30.1</v>
      </c>
      <c r="U110" s="240">
        <f t="shared" si="69"/>
        <v>30.1</v>
      </c>
      <c r="V110" s="239">
        <f t="shared" si="69"/>
        <v>30.1</v>
      </c>
      <c r="W110" s="239">
        <f t="shared" si="69"/>
        <v>30.1</v>
      </c>
    </row>
    <row r="111" spans="1:23" ht="12" customHeight="1" thickBot="1">
      <c r="A111" s="191"/>
      <c r="B111" s="166"/>
      <c r="C111" s="170"/>
      <c r="D111" s="241"/>
      <c r="E111" s="157"/>
      <c r="F111" s="242"/>
      <c r="G111" s="243"/>
      <c r="H111" s="157"/>
      <c r="I111" s="157"/>
      <c r="J111" s="244"/>
      <c r="K111" s="244"/>
      <c r="M111" s="191"/>
      <c r="N111" s="166"/>
      <c r="O111" s="170"/>
      <c r="P111" s="241"/>
      <c r="Q111" s="157"/>
      <c r="R111" s="242"/>
      <c r="S111" s="243"/>
      <c r="T111" s="157"/>
      <c r="U111" s="157"/>
      <c r="V111" s="244"/>
      <c r="W111" s="244"/>
    </row>
    <row r="112" spans="1:23" ht="12" customHeight="1" thickBot="1">
      <c r="A112" s="191"/>
      <c r="B112" s="166"/>
      <c r="C112" s="170" t="s">
        <v>817</v>
      </c>
      <c r="D112" s="245" t="s">
        <v>915</v>
      </c>
      <c r="E112" s="245" t="s">
        <v>916</v>
      </c>
      <c r="F112" s="1152" t="s">
        <v>912</v>
      </c>
      <c r="G112" s="1153"/>
      <c r="H112" s="1153"/>
      <c r="I112" s="1153"/>
      <c r="J112" s="1153"/>
      <c r="K112" s="1154"/>
      <c r="M112" s="191"/>
      <c r="N112" s="166"/>
      <c r="O112" s="170" t="s">
        <v>817</v>
      </c>
      <c r="P112" s="245" t="s">
        <v>915</v>
      </c>
      <c r="Q112" s="245" t="s">
        <v>916</v>
      </c>
      <c r="R112" s="1135" t="s">
        <v>912</v>
      </c>
      <c r="S112" s="1136"/>
      <c r="T112" s="1136"/>
      <c r="U112" s="1136"/>
      <c r="V112" s="1136"/>
      <c r="W112" s="1137"/>
    </row>
    <row r="113" spans="1:23" ht="12" customHeight="1">
      <c r="A113" s="191"/>
      <c r="B113" s="162" t="s">
        <v>832</v>
      </c>
      <c r="C113" s="163">
        <v>7</v>
      </c>
      <c r="D113" s="164">
        <v>2.2</v>
      </c>
      <c r="E113" s="246">
        <f>1*D113</f>
        <v>2.2</v>
      </c>
      <c r="F113" s="730">
        <f aca="true" t="shared" si="70" ref="F113:K116">$E113*$C113</f>
        <v>15.400000000000002</v>
      </c>
      <c r="G113" s="794">
        <f t="shared" si="70"/>
        <v>15.400000000000002</v>
      </c>
      <c r="H113" s="794">
        <f t="shared" si="70"/>
        <v>15.400000000000002</v>
      </c>
      <c r="I113" s="794">
        <f t="shared" si="70"/>
        <v>15.400000000000002</v>
      </c>
      <c r="J113" s="794">
        <f t="shared" si="70"/>
        <v>15.400000000000002</v>
      </c>
      <c r="K113" s="794">
        <f t="shared" si="70"/>
        <v>15.400000000000002</v>
      </c>
      <c r="M113" s="191"/>
      <c r="N113" s="162" t="s">
        <v>832</v>
      </c>
      <c r="O113" s="163">
        <v>7</v>
      </c>
      <c r="P113" s="164">
        <v>2.2</v>
      </c>
      <c r="Q113" s="246">
        <f>1*P113</f>
        <v>2.2</v>
      </c>
      <c r="R113" s="247">
        <f aca="true" t="shared" si="71" ref="R113:W116">$Q113*$O113</f>
        <v>15.400000000000002</v>
      </c>
      <c r="S113" s="247">
        <f t="shared" si="71"/>
        <v>15.400000000000002</v>
      </c>
      <c r="T113" s="247">
        <f t="shared" si="71"/>
        <v>15.400000000000002</v>
      </c>
      <c r="U113" s="247">
        <f t="shared" si="71"/>
        <v>15.400000000000002</v>
      </c>
      <c r="V113" s="247">
        <f t="shared" si="71"/>
        <v>15.400000000000002</v>
      </c>
      <c r="W113" s="247">
        <f t="shared" si="71"/>
        <v>15.400000000000002</v>
      </c>
    </row>
    <row r="114" spans="1:23" ht="12" customHeight="1">
      <c r="A114" s="191"/>
      <c r="B114" s="162" t="s">
        <v>819</v>
      </c>
      <c r="C114" s="163">
        <v>2</v>
      </c>
      <c r="D114" s="164">
        <v>3.5</v>
      </c>
      <c r="E114" s="246">
        <f>1*D114</f>
        <v>3.5</v>
      </c>
      <c r="F114" s="736">
        <f t="shared" si="70"/>
        <v>7</v>
      </c>
      <c r="G114" s="247">
        <f t="shared" si="70"/>
        <v>7</v>
      </c>
      <c r="H114" s="247">
        <f t="shared" si="70"/>
        <v>7</v>
      </c>
      <c r="I114" s="247">
        <f t="shared" si="70"/>
        <v>7</v>
      </c>
      <c r="J114" s="247">
        <f t="shared" si="70"/>
        <v>7</v>
      </c>
      <c r="K114" s="247">
        <f t="shared" si="70"/>
        <v>7</v>
      </c>
      <c r="M114" s="191"/>
      <c r="N114" s="162" t="s">
        <v>819</v>
      </c>
      <c r="O114" s="163">
        <v>2</v>
      </c>
      <c r="P114" s="164">
        <v>3.5</v>
      </c>
      <c r="Q114" s="246">
        <f>1*P114</f>
        <v>3.5</v>
      </c>
      <c r="R114" s="247">
        <f t="shared" si="71"/>
        <v>7</v>
      </c>
      <c r="S114" s="247">
        <f t="shared" si="71"/>
        <v>7</v>
      </c>
      <c r="T114" s="247">
        <f t="shared" si="71"/>
        <v>7</v>
      </c>
      <c r="U114" s="247">
        <f t="shared" si="71"/>
        <v>7</v>
      </c>
      <c r="V114" s="247">
        <f t="shared" si="71"/>
        <v>7</v>
      </c>
      <c r="W114" s="247">
        <f t="shared" si="71"/>
        <v>7</v>
      </c>
    </row>
    <row r="115" spans="1:23" ht="12" customHeight="1">
      <c r="A115" s="191"/>
      <c r="B115" s="162" t="s">
        <v>821</v>
      </c>
      <c r="C115" s="163">
        <v>0.06</v>
      </c>
      <c r="D115" s="164">
        <v>21</v>
      </c>
      <c r="E115" s="246">
        <f>1*D115</f>
        <v>21</v>
      </c>
      <c r="F115" s="736">
        <f t="shared" si="70"/>
        <v>1.26</v>
      </c>
      <c r="G115" s="247">
        <f t="shared" si="70"/>
        <v>1.26</v>
      </c>
      <c r="H115" s="247">
        <f t="shared" si="70"/>
        <v>1.26</v>
      </c>
      <c r="I115" s="247">
        <f t="shared" si="70"/>
        <v>1.26</v>
      </c>
      <c r="J115" s="247">
        <f t="shared" si="70"/>
        <v>1.26</v>
      </c>
      <c r="K115" s="247">
        <f t="shared" si="70"/>
        <v>1.26</v>
      </c>
      <c r="M115" s="191"/>
      <c r="N115" s="162" t="s">
        <v>821</v>
      </c>
      <c r="O115" s="163">
        <v>0.06</v>
      </c>
      <c r="P115" s="164">
        <v>21</v>
      </c>
      <c r="Q115" s="246">
        <f>1*P115</f>
        <v>21</v>
      </c>
      <c r="R115" s="247">
        <f t="shared" si="71"/>
        <v>1.26</v>
      </c>
      <c r="S115" s="247">
        <f t="shared" si="71"/>
        <v>1.26</v>
      </c>
      <c r="T115" s="247">
        <f t="shared" si="71"/>
        <v>1.26</v>
      </c>
      <c r="U115" s="247">
        <f t="shared" si="71"/>
        <v>1.26</v>
      </c>
      <c r="V115" s="247">
        <f t="shared" si="71"/>
        <v>1.26</v>
      </c>
      <c r="W115" s="247">
        <f t="shared" si="71"/>
        <v>1.26</v>
      </c>
    </row>
    <row r="116" spans="1:23" ht="12" customHeight="1">
      <c r="A116" s="191"/>
      <c r="B116" s="162" t="s">
        <v>831</v>
      </c>
      <c r="C116" s="163">
        <v>4</v>
      </c>
      <c r="D116" s="164">
        <v>12</v>
      </c>
      <c r="E116" s="246">
        <f>1*D116</f>
        <v>12</v>
      </c>
      <c r="F116" s="736">
        <f t="shared" si="70"/>
        <v>48</v>
      </c>
      <c r="G116" s="247">
        <f t="shared" si="70"/>
        <v>48</v>
      </c>
      <c r="H116" s="247">
        <f t="shared" si="70"/>
        <v>48</v>
      </c>
      <c r="I116" s="247">
        <f t="shared" si="70"/>
        <v>48</v>
      </c>
      <c r="J116" s="247">
        <f t="shared" si="70"/>
        <v>48</v>
      </c>
      <c r="K116" s="247">
        <f t="shared" si="70"/>
        <v>48</v>
      </c>
      <c r="M116" s="191"/>
      <c r="N116" s="162" t="s">
        <v>831</v>
      </c>
      <c r="O116" s="163">
        <v>4</v>
      </c>
      <c r="P116" s="164">
        <v>12</v>
      </c>
      <c r="Q116" s="246">
        <f>1*P116</f>
        <v>12</v>
      </c>
      <c r="R116" s="247">
        <f t="shared" si="71"/>
        <v>48</v>
      </c>
      <c r="S116" s="247">
        <f t="shared" si="71"/>
        <v>48</v>
      </c>
      <c r="T116" s="247">
        <f t="shared" si="71"/>
        <v>48</v>
      </c>
      <c r="U116" s="247">
        <f t="shared" si="71"/>
        <v>48</v>
      </c>
      <c r="V116" s="247">
        <f t="shared" si="71"/>
        <v>48</v>
      </c>
      <c r="W116" s="247">
        <f t="shared" si="71"/>
        <v>48</v>
      </c>
    </row>
    <row r="117" spans="1:23" ht="12" customHeight="1">
      <c r="A117" s="191"/>
      <c r="B117" s="166" t="s">
        <v>823</v>
      </c>
      <c r="C117" s="166"/>
      <c r="D117" s="167"/>
      <c r="E117" s="681"/>
      <c r="F117" s="738">
        <f aca="true" t="shared" si="72" ref="F117:K117">SUM(F113:F116)</f>
        <v>71.66</v>
      </c>
      <c r="G117" s="280">
        <f t="shared" si="72"/>
        <v>71.66</v>
      </c>
      <c r="H117" s="739">
        <f t="shared" si="72"/>
        <v>71.66</v>
      </c>
      <c r="I117" s="739">
        <f t="shared" si="72"/>
        <v>71.66</v>
      </c>
      <c r="J117" s="280">
        <f t="shared" si="72"/>
        <v>71.66</v>
      </c>
      <c r="K117" s="280">
        <f t="shared" si="72"/>
        <v>71.66</v>
      </c>
      <c r="M117" s="191"/>
      <c r="N117" s="166" t="s">
        <v>823</v>
      </c>
      <c r="O117" s="166"/>
      <c r="P117" s="167"/>
      <c r="Q117" s="681"/>
      <c r="R117" s="739">
        <f aca="true" t="shared" si="73" ref="R117:W117">SUM(R113:R116)</f>
        <v>71.66</v>
      </c>
      <c r="S117" s="280">
        <f t="shared" si="73"/>
        <v>71.66</v>
      </c>
      <c r="T117" s="739">
        <f t="shared" si="73"/>
        <v>71.66</v>
      </c>
      <c r="U117" s="739">
        <f t="shared" si="73"/>
        <v>71.66</v>
      </c>
      <c r="V117" s="280">
        <f t="shared" si="73"/>
        <v>71.66</v>
      </c>
      <c r="W117" s="280">
        <f t="shared" si="73"/>
        <v>71.66</v>
      </c>
    </row>
    <row r="118" spans="1:23" ht="12" customHeight="1">
      <c r="A118" s="191"/>
      <c r="B118" s="180"/>
      <c r="C118" s="180"/>
      <c r="D118" s="171"/>
      <c r="E118" s="157"/>
      <c r="F118" s="764"/>
      <c r="G118" s="244"/>
      <c r="H118" s="157"/>
      <c r="I118" s="157"/>
      <c r="J118" s="244"/>
      <c r="K118" s="244"/>
      <c r="M118" s="191"/>
      <c r="N118" s="180"/>
      <c r="O118" s="180"/>
      <c r="P118" s="171"/>
      <c r="Q118" s="157"/>
      <c r="R118" s="171"/>
      <c r="S118" s="244"/>
      <c r="T118" s="157"/>
      <c r="U118" s="157"/>
      <c r="V118" s="244"/>
      <c r="W118" s="244"/>
    </row>
    <row r="119" spans="1:23" ht="12" customHeight="1" thickBot="1">
      <c r="A119" s="191"/>
      <c r="B119" s="166" t="s">
        <v>918</v>
      </c>
      <c r="C119" s="170"/>
      <c r="D119" s="180"/>
      <c r="E119" s="157"/>
      <c r="F119" s="821">
        <f aca="true" t="shared" si="74" ref="F119:K119">F110+F117</f>
        <v>101.75999999999999</v>
      </c>
      <c r="G119" s="282">
        <f t="shared" si="74"/>
        <v>101.75999999999999</v>
      </c>
      <c r="H119" s="250">
        <f t="shared" si="74"/>
        <v>101.75999999999999</v>
      </c>
      <c r="I119" s="250">
        <f t="shared" si="74"/>
        <v>101.75999999999999</v>
      </c>
      <c r="J119" s="282">
        <f t="shared" si="74"/>
        <v>101.75999999999999</v>
      </c>
      <c r="K119" s="282">
        <f t="shared" si="74"/>
        <v>101.75999999999999</v>
      </c>
      <c r="M119" s="191"/>
      <c r="N119" s="166" t="s">
        <v>918</v>
      </c>
      <c r="O119" s="170"/>
      <c r="P119" s="180"/>
      <c r="Q119" s="157"/>
      <c r="R119" s="250">
        <f aca="true" t="shared" si="75" ref="R119:W119">R110+R117</f>
        <v>101.75999999999999</v>
      </c>
      <c r="S119" s="282">
        <f t="shared" si="75"/>
        <v>101.75999999999999</v>
      </c>
      <c r="T119" s="250">
        <f t="shared" si="75"/>
        <v>101.75999999999999</v>
      </c>
      <c r="U119" s="250">
        <f t="shared" si="75"/>
        <v>101.75999999999999</v>
      </c>
      <c r="V119" s="282">
        <f t="shared" si="75"/>
        <v>101.75999999999999</v>
      </c>
      <c r="W119" s="282">
        <f t="shared" si="75"/>
        <v>101.75999999999999</v>
      </c>
    </row>
    <row r="120" spans="1:23" ht="12" customHeight="1" thickBot="1">
      <c r="A120" s="191"/>
      <c r="B120" s="170"/>
      <c r="C120" s="170"/>
      <c r="D120" s="180"/>
      <c r="E120" s="157"/>
      <c r="F120" s="745"/>
      <c r="G120" s="746"/>
      <c r="H120" s="745"/>
      <c r="I120" s="745"/>
      <c r="J120" s="746"/>
      <c r="K120" s="746"/>
      <c r="M120" s="191"/>
      <c r="N120" s="166" t="s">
        <v>824</v>
      </c>
      <c r="O120" s="170"/>
      <c r="P120" s="250" t="s">
        <v>919</v>
      </c>
      <c r="Q120" s="251"/>
      <c r="R120" s="1135" t="s">
        <v>912</v>
      </c>
      <c r="S120" s="1136"/>
      <c r="T120" s="1136"/>
      <c r="U120" s="1136"/>
      <c r="V120" s="1136"/>
      <c r="W120" s="1137"/>
    </row>
    <row r="121" spans="1:23" ht="12" customHeight="1" thickBot="1">
      <c r="A121" s="191"/>
      <c r="B121" s="166" t="s">
        <v>824</v>
      </c>
      <c r="C121" s="170"/>
      <c r="D121" s="250" t="s">
        <v>825</v>
      </c>
      <c r="E121" s="251"/>
      <c r="F121" s="1152" t="s">
        <v>912</v>
      </c>
      <c r="G121" s="1153"/>
      <c r="H121" s="1153"/>
      <c r="I121" s="1153"/>
      <c r="J121" s="1153"/>
      <c r="K121" s="1154"/>
      <c r="M121" s="191"/>
      <c r="N121" s="162" t="s">
        <v>826</v>
      </c>
      <c r="O121" s="252">
        <v>0.1</v>
      </c>
      <c r="P121" s="165">
        <f>O121*$P$100*$T$97</f>
        <v>4.9725</v>
      </c>
      <c r="Q121" s="155">
        <f>1*P121</f>
        <v>4.9725</v>
      </c>
      <c r="R121" s="167">
        <f aca="true" t="shared" si="76" ref="R121:W121">$Q121*R99/1000</f>
        <v>18.8955</v>
      </c>
      <c r="S121" s="167">
        <f t="shared" si="76"/>
        <v>19.89</v>
      </c>
      <c r="T121" s="167">
        <f t="shared" si="76"/>
        <v>20.8845</v>
      </c>
      <c r="U121" s="167">
        <f t="shared" si="76"/>
        <v>22.37625</v>
      </c>
      <c r="V121" s="167">
        <f t="shared" si="76"/>
        <v>23.868</v>
      </c>
      <c r="W121" s="167">
        <f t="shared" si="76"/>
        <v>21.38175</v>
      </c>
    </row>
    <row r="122" spans="1:23" ht="12" customHeight="1">
      <c r="A122" s="191"/>
      <c r="B122" s="162" t="s">
        <v>826</v>
      </c>
      <c r="C122" s="172">
        <v>0.1</v>
      </c>
      <c r="D122" s="165">
        <f>C122*D100</f>
        <v>5.8500000000000005</v>
      </c>
      <c r="E122" s="155">
        <f>1*D122</f>
        <v>5.8500000000000005</v>
      </c>
      <c r="F122" s="798">
        <f aca="true" t="shared" si="77" ref="F122:K122">$E122*F99/1000</f>
        <v>22.230000000000004</v>
      </c>
      <c r="G122" s="797">
        <f t="shared" si="77"/>
        <v>23.400000000000002</v>
      </c>
      <c r="H122" s="797">
        <f t="shared" si="77"/>
        <v>24.570000000000004</v>
      </c>
      <c r="I122" s="797">
        <f t="shared" si="77"/>
        <v>26.325000000000003</v>
      </c>
      <c r="J122" s="797">
        <f t="shared" si="77"/>
        <v>28.080000000000005</v>
      </c>
      <c r="K122" s="797">
        <f t="shared" si="77"/>
        <v>24.868350000000003</v>
      </c>
      <c r="M122" s="191"/>
      <c r="N122" s="162" t="s">
        <v>827</v>
      </c>
      <c r="O122" s="252">
        <v>1</v>
      </c>
      <c r="P122" s="155">
        <f>1*18</f>
        <v>18</v>
      </c>
      <c r="Q122" s="155">
        <f>1*P122</f>
        <v>18</v>
      </c>
      <c r="R122" s="167">
        <f aca="true" t="shared" si="78" ref="R122:W122">$P122*R99/1000</f>
        <v>68.4</v>
      </c>
      <c r="S122" s="167">
        <f t="shared" si="78"/>
        <v>72</v>
      </c>
      <c r="T122" s="167">
        <f t="shared" si="78"/>
        <v>75.6</v>
      </c>
      <c r="U122" s="167">
        <f t="shared" si="78"/>
        <v>81</v>
      </c>
      <c r="V122" s="167">
        <f t="shared" si="78"/>
        <v>86.4</v>
      </c>
      <c r="W122" s="167">
        <f t="shared" si="78"/>
        <v>77.4</v>
      </c>
    </row>
    <row r="123" spans="1:23" ht="12" customHeight="1">
      <c r="A123" s="191"/>
      <c r="B123" s="162" t="s">
        <v>827</v>
      </c>
      <c r="C123" s="172">
        <v>1</v>
      </c>
      <c r="D123" s="155">
        <f>C123*18</f>
        <v>18</v>
      </c>
      <c r="E123" s="155">
        <f>1*D123</f>
        <v>18</v>
      </c>
      <c r="F123" s="822">
        <f aca="true" t="shared" si="79" ref="F123:K123">$E123*F99/1000</f>
        <v>68.4</v>
      </c>
      <c r="G123" s="823">
        <f t="shared" si="79"/>
        <v>72</v>
      </c>
      <c r="H123" s="823">
        <f t="shared" si="79"/>
        <v>75.6</v>
      </c>
      <c r="I123" s="823">
        <f t="shared" si="79"/>
        <v>81</v>
      </c>
      <c r="J123" s="823">
        <f t="shared" si="79"/>
        <v>86.4</v>
      </c>
      <c r="K123" s="823">
        <f t="shared" si="79"/>
        <v>76.518</v>
      </c>
      <c r="M123" s="191"/>
      <c r="N123" s="174" t="s">
        <v>828</v>
      </c>
      <c r="O123" s="253">
        <v>0.01</v>
      </c>
      <c r="P123" s="165">
        <f>O123*$P$100*$T$97</f>
        <v>0.49724999999999997</v>
      </c>
      <c r="Q123" s="155">
        <f>1*P123</f>
        <v>0.49724999999999997</v>
      </c>
      <c r="R123" s="167">
        <f aca="true" t="shared" si="80" ref="R123:W123">$D124*R99/1000</f>
        <v>2.223</v>
      </c>
      <c r="S123" s="167">
        <f t="shared" si="80"/>
        <v>2.34</v>
      </c>
      <c r="T123" s="167">
        <f t="shared" si="80"/>
        <v>2.457</v>
      </c>
      <c r="U123" s="167">
        <f t="shared" si="80"/>
        <v>2.6325</v>
      </c>
      <c r="V123" s="167">
        <f t="shared" si="80"/>
        <v>2.808</v>
      </c>
      <c r="W123" s="167">
        <f t="shared" si="80"/>
        <v>2.5155</v>
      </c>
    </row>
    <row r="124" spans="1:23" ht="12" customHeight="1">
      <c r="A124" s="191"/>
      <c r="B124" s="174" t="s">
        <v>828</v>
      </c>
      <c r="C124" s="175">
        <v>0.01</v>
      </c>
      <c r="D124" s="824">
        <f>C124*D100</f>
        <v>0.585</v>
      </c>
      <c r="E124" s="155">
        <f>1*D124</f>
        <v>0.585</v>
      </c>
      <c r="F124" s="822">
        <f aca="true" t="shared" si="81" ref="F124:K124">$E124*F99/1000</f>
        <v>2.223</v>
      </c>
      <c r="G124" s="823">
        <f t="shared" si="81"/>
        <v>2.34</v>
      </c>
      <c r="H124" s="823">
        <f t="shared" si="81"/>
        <v>2.457</v>
      </c>
      <c r="I124" s="823">
        <f t="shared" si="81"/>
        <v>2.6325</v>
      </c>
      <c r="J124" s="823">
        <f t="shared" si="81"/>
        <v>2.808</v>
      </c>
      <c r="K124" s="823">
        <f t="shared" si="81"/>
        <v>2.486835</v>
      </c>
      <c r="M124" s="191"/>
      <c r="N124" s="174" t="s">
        <v>520</v>
      </c>
      <c r="O124" s="253">
        <v>0.00121</v>
      </c>
      <c r="P124" s="165">
        <f>O124*$P$100*$T$97</f>
        <v>0.06016725</v>
      </c>
      <c r="Q124" s="155">
        <f>1*P124</f>
        <v>0.06016725</v>
      </c>
      <c r="R124" s="167">
        <f aca="true" t="shared" si="82" ref="R124:W124">$D125*R99/1000</f>
        <v>0.268983</v>
      </c>
      <c r="S124" s="167">
        <f t="shared" si="82"/>
        <v>0.28314</v>
      </c>
      <c r="T124" s="167">
        <f t="shared" si="82"/>
        <v>0.29729700000000003</v>
      </c>
      <c r="U124" s="167">
        <f t="shared" si="82"/>
        <v>0.31853250000000005</v>
      </c>
      <c r="V124" s="167">
        <f t="shared" si="82"/>
        <v>0.339768</v>
      </c>
      <c r="W124" s="167">
        <f t="shared" si="82"/>
        <v>0.30437549999999997</v>
      </c>
    </row>
    <row r="125" spans="1:23" ht="12" customHeight="1">
      <c r="A125" s="191"/>
      <c r="B125" s="174" t="s">
        <v>520</v>
      </c>
      <c r="C125" s="175">
        <v>0.00121</v>
      </c>
      <c r="D125" s="824">
        <f>C125*D100</f>
        <v>0.070785</v>
      </c>
      <c r="E125" s="155">
        <f>1*D125</f>
        <v>0.070785</v>
      </c>
      <c r="F125" s="822">
        <f aca="true" t="shared" si="83" ref="F125:K125">$E125*F99/1000</f>
        <v>0.268983</v>
      </c>
      <c r="G125" s="823">
        <f t="shared" si="83"/>
        <v>0.28314</v>
      </c>
      <c r="H125" s="823">
        <f t="shared" si="83"/>
        <v>0.29729700000000003</v>
      </c>
      <c r="I125" s="823">
        <f t="shared" si="83"/>
        <v>0.31853250000000005</v>
      </c>
      <c r="J125" s="823">
        <f t="shared" si="83"/>
        <v>0.339768</v>
      </c>
      <c r="K125" s="823">
        <f t="shared" si="83"/>
        <v>0.300907035</v>
      </c>
      <c r="M125" s="191"/>
      <c r="N125" s="166" t="s">
        <v>829</v>
      </c>
      <c r="O125" s="176"/>
      <c r="P125" s="739">
        <f aca="true" t="shared" si="84" ref="P125:W125">SUM(P121:P124)</f>
        <v>23.52991725</v>
      </c>
      <c r="Q125" s="739">
        <f t="shared" si="84"/>
        <v>23.52991725</v>
      </c>
      <c r="R125" s="739">
        <f t="shared" si="84"/>
        <v>89.78748300000001</v>
      </c>
      <c r="S125" s="280">
        <f t="shared" si="84"/>
        <v>94.51314</v>
      </c>
      <c r="T125" s="739">
        <f t="shared" si="84"/>
        <v>99.23879699999999</v>
      </c>
      <c r="U125" s="739">
        <f t="shared" si="84"/>
        <v>106.3272825</v>
      </c>
      <c r="V125" s="280">
        <f t="shared" si="84"/>
        <v>113.415768</v>
      </c>
      <c r="W125" s="280">
        <f t="shared" si="84"/>
        <v>101.60162550000001</v>
      </c>
    </row>
    <row r="126" spans="1:23" ht="12" customHeight="1">
      <c r="A126" s="191"/>
      <c r="B126" s="166" t="s">
        <v>829</v>
      </c>
      <c r="C126" s="176"/>
      <c r="D126" s="739">
        <f aca="true" t="shared" si="85" ref="D126:K126">SUM(D122:D125)</f>
        <v>24.505785000000003</v>
      </c>
      <c r="E126" s="739">
        <f t="shared" si="85"/>
        <v>24.505785000000003</v>
      </c>
      <c r="F126" s="738">
        <f t="shared" si="85"/>
        <v>93.12198300000001</v>
      </c>
      <c r="G126" s="280">
        <f t="shared" si="85"/>
        <v>98.02314000000001</v>
      </c>
      <c r="H126" s="739">
        <f t="shared" si="85"/>
        <v>102.924297</v>
      </c>
      <c r="I126" s="739">
        <f t="shared" si="85"/>
        <v>110.2760325</v>
      </c>
      <c r="J126" s="280">
        <f t="shared" si="85"/>
        <v>117.62776800000002</v>
      </c>
      <c r="K126" s="280">
        <f t="shared" si="85"/>
        <v>104.174092035</v>
      </c>
      <c r="M126" s="191"/>
      <c r="N126" s="180"/>
      <c r="O126" s="157"/>
      <c r="P126" s="756"/>
      <c r="Q126" s="157"/>
      <c r="R126" s="171"/>
      <c r="S126" s="244"/>
      <c r="T126" s="157"/>
      <c r="U126" s="157"/>
      <c r="V126" s="244"/>
      <c r="W126" s="244"/>
    </row>
    <row r="127" spans="1:23" ht="12" customHeight="1">
      <c r="A127" s="191"/>
      <c r="B127" s="180"/>
      <c r="C127" s="157"/>
      <c r="D127" s="756"/>
      <c r="E127" s="157"/>
      <c r="F127" s="764"/>
      <c r="G127" s="244"/>
      <c r="H127" s="157"/>
      <c r="I127" s="157"/>
      <c r="J127" s="244"/>
      <c r="K127" s="244"/>
      <c r="M127" s="191"/>
      <c r="N127" s="757" t="s">
        <v>921</v>
      </c>
      <c r="O127" s="758"/>
      <c r="P127" s="759"/>
      <c r="Q127" s="157"/>
      <c r="R127" s="825">
        <f aca="true" t="shared" si="86" ref="R127:W127">R110+R117+R125</f>
        <v>191.547483</v>
      </c>
      <c r="S127" s="290">
        <f t="shared" si="86"/>
        <v>196.27314</v>
      </c>
      <c r="T127" s="825">
        <f t="shared" si="86"/>
        <v>200.99879699999997</v>
      </c>
      <c r="U127" s="825">
        <f t="shared" si="86"/>
        <v>208.0872825</v>
      </c>
      <c r="V127" s="290">
        <f t="shared" si="86"/>
        <v>215.175768</v>
      </c>
      <c r="W127" s="290">
        <f t="shared" si="86"/>
        <v>203.3616255</v>
      </c>
    </row>
    <row r="128" spans="1:23" ht="12" customHeight="1">
      <c r="A128" s="191"/>
      <c r="B128" s="757" t="s">
        <v>921</v>
      </c>
      <c r="C128" s="758"/>
      <c r="D128" s="759"/>
      <c r="E128" s="157"/>
      <c r="F128" s="826">
        <f aca="true" t="shared" si="87" ref="F128:K128">F110+F117+F126</f>
        <v>194.881983</v>
      </c>
      <c r="G128" s="827">
        <f t="shared" si="87"/>
        <v>199.78314</v>
      </c>
      <c r="H128" s="828">
        <f t="shared" si="87"/>
        <v>204.684297</v>
      </c>
      <c r="I128" s="828">
        <f t="shared" si="87"/>
        <v>212.03603249999998</v>
      </c>
      <c r="J128" s="827">
        <f t="shared" si="87"/>
        <v>219.387768</v>
      </c>
      <c r="K128" s="827">
        <f t="shared" si="87"/>
        <v>205.934092035</v>
      </c>
      <c r="M128" s="191"/>
      <c r="N128" s="206" t="s">
        <v>922</v>
      </c>
      <c r="O128" s="255"/>
      <c r="P128" s="256"/>
      <c r="Q128" s="157"/>
      <c r="R128" s="739">
        <f aca="true" t="shared" si="88" ref="R128:W128">R101-R127</f>
        <v>-2.592482999999987</v>
      </c>
      <c r="S128" s="280">
        <f t="shared" si="88"/>
        <v>2.6268599999999935</v>
      </c>
      <c r="T128" s="739">
        <f t="shared" si="88"/>
        <v>7.846203000000031</v>
      </c>
      <c r="U128" s="739">
        <f t="shared" si="88"/>
        <v>15.675217500000002</v>
      </c>
      <c r="V128" s="739">
        <f t="shared" si="88"/>
        <v>23.504232000000002</v>
      </c>
      <c r="W128" s="739">
        <f t="shared" si="88"/>
        <v>10.455874499999993</v>
      </c>
    </row>
    <row r="129" spans="1:16" ht="12" customHeight="1" thickBot="1">
      <c r="A129" s="191"/>
      <c r="B129" s="206" t="s">
        <v>922</v>
      </c>
      <c r="C129" s="255"/>
      <c r="D129" s="256"/>
      <c r="E129" s="157"/>
      <c r="F129" s="821">
        <f aca="true" t="shared" si="89" ref="F129:K129">F101-F128</f>
        <v>27.41801700000002</v>
      </c>
      <c r="G129" s="282">
        <f t="shared" si="89"/>
        <v>34.21686</v>
      </c>
      <c r="H129" s="250">
        <f t="shared" si="89"/>
        <v>41.015703</v>
      </c>
      <c r="I129" s="250">
        <f t="shared" si="89"/>
        <v>51.213967500000024</v>
      </c>
      <c r="J129" s="250">
        <f t="shared" si="89"/>
        <v>61.41223200000002</v>
      </c>
      <c r="K129" s="250">
        <f t="shared" si="89"/>
        <v>42.74940796500002</v>
      </c>
      <c r="M129" s="191"/>
      <c r="N129" s="201" t="s">
        <v>923</v>
      </c>
      <c r="O129" s="258"/>
      <c r="P129" s="259">
        <f>(R119/(P100*T97-P125))*1000</f>
        <v>3884.6985509141023</v>
      </c>
    </row>
    <row r="130" spans="1:23" ht="12" customHeight="1" thickBot="1">
      <c r="A130" s="191"/>
      <c r="B130" s="201" t="s">
        <v>923</v>
      </c>
      <c r="C130" s="258"/>
      <c r="D130" s="771">
        <f>(F119)/(D100-D126)*1000</f>
        <v>2993.4505032694533</v>
      </c>
      <c r="F130" s="65"/>
      <c r="M130" s="191"/>
      <c r="N130" s="260" t="s">
        <v>924</v>
      </c>
      <c r="O130" s="261"/>
      <c r="P130" s="261"/>
      <c r="Q130" s="261"/>
      <c r="R130" s="263">
        <f>(R119+P122*R99/1000)/((R99/1000-R99/1000*(O121+O123+O124)))</f>
        <v>50.38192077816025</v>
      </c>
      <c r="S130" s="263">
        <f>(S119+$P$122*$T$97*S99/1000)/((S99/1000-S99/1000*($O$121+$O$123+$O$124)))/$T$97</f>
        <v>53.926587568161075</v>
      </c>
      <c r="T130" s="263">
        <f>(T119+$P$122*$T$97*T99/1000)/((T99/1000-T99/1000*($O$121+$O$123+$O$124)))/$T$97</f>
        <v>52.32304782982737</v>
      </c>
      <c r="U130" s="263">
        <f>(U119+$P$122*$T$97*U99/1000)/((U99/1000-U99/1000*($O$121+$O$123+$O$124)))/$T$97</f>
        <v>50.18499484538243</v>
      </c>
      <c r="V130" s="263">
        <f>(V119+$P$122*$T$97*V99/1000)/((V99/1000-V99/1000*($O$121+$O$123+$O$124)))/$T$97</f>
        <v>48.3141984839931</v>
      </c>
      <c r="W130" s="263">
        <f>(W119+$P$122*$T$97*W99/1000)/((W99/1000-W99/1000*($O$121+$O$123+$O$124)))/$T$97</f>
        <v>51.5772153933931</v>
      </c>
    </row>
    <row r="131" spans="1:11" ht="12" customHeight="1" thickBot="1">
      <c r="A131" s="191"/>
      <c r="B131" s="260" t="s">
        <v>924</v>
      </c>
      <c r="C131" s="261"/>
      <c r="D131" s="261"/>
      <c r="E131" s="261"/>
      <c r="F131" s="829">
        <f aca="true" t="shared" si="90" ref="F131:K131">(F119+$D$123*F99/1000)/((F99/1000-F99/1000*($C$122+$C$124+$C$125)))</f>
        <v>50.38192077816025</v>
      </c>
      <c r="G131" s="263">
        <f t="shared" si="90"/>
        <v>48.87543739240991</v>
      </c>
      <c r="H131" s="263">
        <f t="shared" si="90"/>
        <v>47.51242861482625</v>
      </c>
      <c r="I131" s="263">
        <f t="shared" si="90"/>
        <v>45.695083578048056</v>
      </c>
      <c r="J131" s="830">
        <f t="shared" si="90"/>
        <v>44.10490667086713</v>
      </c>
      <c r="K131" s="830">
        <f t="shared" si="90"/>
        <v>47.18538346000731</v>
      </c>
    </row>
    <row r="132" ht="12" customHeight="1">
      <c r="A132" s="191"/>
    </row>
    <row r="133" spans="1:14" ht="12.75">
      <c r="A133" s="191"/>
      <c r="B133" s="776" t="s">
        <v>521</v>
      </c>
      <c r="N133" s="776" t="s">
        <v>521</v>
      </c>
    </row>
    <row r="134" spans="1:23" ht="12.75">
      <c r="A134" s="777"/>
      <c r="B134" s="779"/>
      <c r="C134" s="779"/>
      <c r="D134" s="779"/>
      <c r="E134" s="779"/>
      <c r="F134" s="779"/>
      <c r="G134" s="779"/>
      <c r="H134" s="779"/>
      <c r="I134" s="779"/>
      <c r="J134" s="779"/>
      <c r="K134" s="779"/>
      <c r="L134" s="779"/>
      <c r="M134" s="777"/>
      <c r="N134" s="779"/>
      <c r="O134" s="779"/>
      <c r="P134" s="779"/>
      <c r="Q134" s="779"/>
      <c r="R134" s="779"/>
      <c r="S134" s="779"/>
      <c r="T134" s="779"/>
      <c r="U134" s="779"/>
      <c r="V134" s="779"/>
      <c r="W134" s="779"/>
    </row>
    <row r="135" spans="1:13" ht="15.75">
      <c r="A135" s="1131" t="s">
        <v>524</v>
      </c>
      <c r="B135" s="1131"/>
      <c r="C135" s="1131"/>
      <c r="D135" s="1131"/>
      <c r="E135" s="1131"/>
      <c r="F135" s="1131"/>
      <c r="G135" s="1131"/>
      <c r="H135" s="1131"/>
      <c r="I135" s="1131"/>
      <c r="J135" s="1131"/>
      <c r="K135" s="1131"/>
      <c r="M135" s="191"/>
    </row>
    <row r="136" spans="1:13" ht="12.75">
      <c r="A136" s="191"/>
      <c r="B136" s="704" t="s">
        <v>898</v>
      </c>
      <c r="C136" s="705" t="s">
        <v>288</v>
      </c>
      <c r="E136" s="194"/>
      <c r="F136" s="194"/>
      <c r="M136" s="191"/>
    </row>
    <row r="137" spans="1:23" ht="15.75">
      <c r="A137" s="191"/>
      <c r="B137" s="706" t="s">
        <v>899</v>
      </c>
      <c r="C137" s="816"/>
      <c r="E137" s="196" t="s">
        <v>289</v>
      </c>
      <c r="M137" s="1131" t="s">
        <v>516</v>
      </c>
      <c r="N137" s="1131"/>
      <c r="O137" s="1131"/>
      <c r="P137" s="1131"/>
      <c r="Q137" s="1131"/>
      <c r="R137" s="1131"/>
      <c r="S137" s="1131"/>
      <c r="T137" s="1131"/>
      <c r="U137" s="1131"/>
      <c r="V137" s="1131"/>
      <c r="W137" s="1131"/>
    </row>
    <row r="138" spans="1:18" ht="13.5" thickBot="1">
      <c r="A138" s="191"/>
      <c r="B138" s="197"/>
      <c r="C138" s="197"/>
      <c r="D138" s="197"/>
      <c r="F138" s="180"/>
      <c r="G138" s="25" t="s">
        <v>328</v>
      </c>
      <c r="H138" s="198">
        <v>0.85</v>
      </c>
      <c r="I138" s="157"/>
      <c r="J138" s="157"/>
      <c r="M138" s="191"/>
      <c r="N138" s="192" t="s">
        <v>898</v>
      </c>
      <c r="O138" s="831" t="s">
        <v>290</v>
      </c>
      <c r="Q138" s="194"/>
      <c r="R138" s="194"/>
    </row>
    <row r="139" spans="1:17" ht="13.5" thickBot="1">
      <c r="A139" s="191"/>
      <c r="B139" s="708" t="s">
        <v>901</v>
      </c>
      <c r="C139" s="709"/>
      <c r="D139" s="201" t="s">
        <v>902</v>
      </c>
      <c r="F139" s="1132" t="s">
        <v>903</v>
      </c>
      <c r="G139" s="1133"/>
      <c r="H139" s="1133"/>
      <c r="I139" s="1133"/>
      <c r="J139" s="1134"/>
      <c r="K139" s="712" t="s">
        <v>904</v>
      </c>
      <c r="M139" s="191"/>
      <c r="N139" s="195" t="s">
        <v>899</v>
      </c>
      <c r="O139" s="157"/>
      <c r="Q139" s="196" t="s">
        <v>291</v>
      </c>
    </row>
    <row r="140" spans="1:22" ht="13.5" thickBot="1">
      <c r="A140" s="191"/>
      <c r="B140" s="713"/>
      <c r="C140" s="714"/>
      <c r="D140" s="206" t="s">
        <v>905</v>
      </c>
      <c r="F140" s="207">
        <v>1400</v>
      </c>
      <c r="G140" s="208">
        <v>1500</v>
      </c>
      <c r="H140" s="818">
        <v>1650</v>
      </c>
      <c r="I140" s="209">
        <v>1800</v>
      </c>
      <c r="J140" s="210">
        <v>2500</v>
      </c>
      <c r="K140" s="159">
        <v>1758</v>
      </c>
      <c r="M140" s="191"/>
      <c r="N140" s="197"/>
      <c r="O140" s="197"/>
      <c r="P140" s="197"/>
      <c r="R140" s="180"/>
      <c r="S140" s="57" t="s">
        <v>328</v>
      </c>
      <c r="T140" s="198">
        <v>0.8</v>
      </c>
      <c r="U140" s="157"/>
      <c r="V140" s="157"/>
    </row>
    <row r="141" spans="1:23" ht="13.5" thickBot="1">
      <c r="A141" s="191"/>
      <c r="B141" s="180" t="s">
        <v>906</v>
      </c>
      <c r="C141" s="211"/>
      <c r="D141" s="212">
        <v>85</v>
      </c>
      <c r="F141" s="213"/>
      <c r="G141" s="214"/>
      <c r="H141" s="214"/>
      <c r="I141" s="215"/>
      <c r="J141" s="214"/>
      <c r="M141" s="191"/>
      <c r="N141" s="199" t="s">
        <v>901</v>
      </c>
      <c r="O141" s="709"/>
      <c r="P141" s="201" t="s">
        <v>902</v>
      </c>
      <c r="R141" s="1132" t="s">
        <v>903</v>
      </c>
      <c r="S141" s="1133"/>
      <c r="T141" s="1133"/>
      <c r="U141" s="1133"/>
      <c r="V141" s="1134"/>
      <c r="W141" s="712" t="s">
        <v>904</v>
      </c>
    </row>
    <row r="142" spans="1:23" ht="12.75">
      <c r="A142" s="191"/>
      <c r="B142" s="216" t="s">
        <v>907</v>
      </c>
      <c r="C142" s="217"/>
      <c r="D142" s="218"/>
      <c r="F142" s="219">
        <f aca="true" t="shared" si="91" ref="F142:K142">$D$141*F140*$H138/1000</f>
        <v>101.15</v>
      </c>
      <c r="G142" s="219">
        <f t="shared" si="91"/>
        <v>108.375</v>
      </c>
      <c r="H142" s="219">
        <f t="shared" si="91"/>
        <v>119.2125</v>
      </c>
      <c r="I142" s="219">
        <f t="shared" si="91"/>
        <v>130.05</v>
      </c>
      <c r="J142" s="219">
        <f t="shared" si="91"/>
        <v>180.625</v>
      </c>
      <c r="K142" s="219">
        <f t="shared" si="91"/>
        <v>127.0155</v>
      </c>
      <c r="M142" s="191"/>
      <c r="N142" s="713"/>
      <c r="O142" s="714"/>
      <c r="P142" s="206" t="s">
        <v>905</v>
      </c>
      <c r="R142" s="207">
        <v>1000</v>
      </c>
      <c r="S142" s="208">
        <v>1200</v>
      </c>
      <c r="T142" s="207">
        <v>1500</v>
      </c>
      <c r="U142" s="209">
        <v>1800</v>
      </c>
      <c r="V142" s="210">
        <v>2100</v>
      </c>
      <c r="W142" s="159">
        <v>1384</v>
      </c>
    </row>
    <row r="143" spans="1:22" ht="13.5" thickBot="1">
      <c r="A143" s="191"/>
      <c r="B143" s="216" t="s">
        <v>908</v>
      </c>
      <c r="C143" s="217"/>
      <c r="D143" s="220"/>
      <c r="F143" s="221"/>
      <c r="G143" s="222"/>
      <c r="J143" s="65"/>
      <c r="K143" s="65"/>
      <c r="M143" s="191"/>
      <c r="N143" s="180" t="s">
        <v>906</v>
      </c>
      <c r="O143" s="211"/>
      <c r="P143" s="212">
        <v>135</v>
      </c>
      <c r="R143" s="213"/>
      <c r="S143" s="214"/>
      <c r="T143" s="215"/>
      <c r="U143" s="215"/>
      <c r="V143" s="214"/>
    </row>
    <row r="144" spans="1:23" ht="13.5" thickBot="1">
      <c r="A144" s="191"/>
      <c r="B144" s="724" t="s">
        <v>909</v>
      </c>
      <c r="C144" s="164">
        <v>14</v>
      </c>
      <c r="G144" s="224"/>
      <c r="J144" s="65"/>
      <c r="K144" s="65"/>
      <c r="M144" s="191"/>
      <c r="N144" s="216" t="s">
        <v>907</v>
      </c>
      <c r="O144" s="217"/>
      <c r="P144" s="218"/>
      <c r="R144" s="219">
        <f aca="true" t="shared" si="92" ref="R144:W144">R142*$P$143*$T$140/1000</f>
        <v>108</v>
      </c>
      <c r="S144" s="219">
        <f t="shared" si="92"/>
        <v>129.6</v>
      </c>
      <c r="T144" s="219">
        <f t="shared" si="92"/>
        <v>162</v>
      </c>
      <c r="U144" s="219">
        <f t="shared" si="92"/>
        <v>194.4</v>
      </c>
      <c r="V144" s="219">
        <f t="shared" si="92"/>
        <v>226.8</v>
      </c>
      <c r="W144" s="219">
        <f t="shared" si="92"/>
        <v>149.472</v>
      </c>
    </row>
    <row r="145" spans="1:23" ht="13.5" thickBot="1">
      <c r="A145" s="161" t="s">
        <v>512</v>
      </c>
      <c r="B145" s="726"/>
      <c r="C145" s="227" t="s">
        <v>817</v>
      </c>
      <c r="D145" s="219" t="s">
        <v>910</v>
      </c>
      <c r="E145" s="727" t="s">
        <v>911</v>
      </c>
      <c r="F145" s="1135" t="s">
        <v>912</v>
      </c>
      <c r="G145" s="1136"/>
      <c r="H145" s="1136"/>
      <c r="I145" s="1136"/>
      <c r="J145" s="1136"/>
      <c r="K145" s="1137"/>
      <c r="M145" s="191"/>
      <c r="N145" s="216" t="s">
        <v>908</v>
      </c>
      <c r="O145" s="217"/>
      <c r="P145" s="220"/>
      <c r="R145" s="221"/>
      <c r="S145" s="222"/>
      <c r="V145" s="65"/>
      <c r="W145" s="65"/>
    </row>
    <row r="146" spans="1:23" ht="13.5" thickBot="1">
      <c r="A146" s="225">
        <v>18</v>
      </c>
      <c r="B146" s="234" t="str">
        <f>IF($A146&lt;&gt;0,VLOOKUP($A146,equi,2),"")</f>
        <v>Siembra Gruesa - Labranza Cero</v>
      </c>
      <c r="C146" s="232">
        <v>1</v>
      </c>
      <c r="D146" s="235">
        <f>IF($A146&lt;&gt;0,VLOOKUP($A146,equi,3),"")</f>
        <v>0.65</v>
      </c>
      <c r="E146" s="165">
        <f>D146*$C$144</f>
        <v>9.1</v>
      </c>
      <c r="F146" s="782">
        <f aca="true" t="shared" si="93" ref="F146:K148">$E146*$C146</f>
        <v>9.1</v>
      </c>
      <c r="G146" s="782">
        <f t="shared" si="93"/>
        <v>9.1</v>
      </c>
      <c r="H146" s="783">
        <f t="shared" si="93"/>
        <v>9.1</v>
      </c>
      <c r="I146" s="782">
        <f t="shared" si="93"/>
        <v>9.1</v>
      </c>
      <c r="J146" s="782">
        <f t="shared" si="93"/>
        <v>9.1</v>
      </c>
      <c r="K146" s="782">
        <f t="shared" si="93"/>
        <v>9.1</v>
      </c>
      <c r="M146" s="191"/>
      <c r="N146" s="724" t="s">
        <v>909</v>
      </c>
      <c r="O146" s="164">
        <v>14</v>
      </c>
      <c r="S146" s="224"/>
      <c r="V146" s="65"/>
      <c r="W146" s="65"/>
    </row>
    <row r="147" spans="1:23" ht="13.5" thickBot="1">
      <c r="A147" s="225">
        <v>22</v>
      </c>
      <c r="B147" s="234" t="str">
        <f>IF($A147&lt;&gt;0,VLOOKUP($A147,equi,2),"")</f>
        <v>Pulverización Terrestre p/Herbicidas y Defoliantes</v>
      </c>
      <c r="C147" s="232">
        <v>1</v>
      </c>
      <c r="D147" s="235">
        <f>IF($A147&lt;&gt;0,VLOOKUP($A147,equi,3),"")</f>
        <v>0.25</v>
      </c>
      <c r="E147" s="165">
        <f>D147*$C$144</f>
        <v>3.5</v>
      </c>
      <c r="F147" s="785">
        <f t="shared" si="93"/>
        <v>3.5</v>
      </c>
      <c r="G147" s="785">
        <f t="shared" si="93"/>
        <v>3.5</v>
      </c>
      <c r="H147" s="786">
        <f t="shared" si="93"/>
        <v>3.5</v>
      </c>
      <c r="I147" s="785">
        <f t="shared" si="93"/>
        <v>3.5</v>
      </c>
      <c r="J147" s="785">
        <f t="shared" si="93"/>
        <v>3.5</v>
      </c>
      <c r="K147" s="785">
        <f t="shared" si="93"/>
        <v>3.5</v>
      </c>
      <c r="M147" s="155" t="s">
        <v>512</v>
      </c>
      <c r="N147" s="726"/>
      <c r="O147" s="227" t="s">
        <v>817</v>
      </c>
      <c r="P147" s="219" t="s">
        <v>910</v>
      </c>
      <c r="Q147" s="160" t="s">
        <v>911</v>
      </c>
      <c r="R147" s="1135" t="s">
        <v>912</v>
      </c>
      <c r="S147" s="1136"/>
      <c r="T147" s="1136"/>
      <c r="U147" s="1136"/>
      <c r="V147" s="1136"/>
      <c r="W147" s="1137"/>
    </row>
    <row r="148" spans="1:24" ht="12.75">
      <c r="A148" s="225">
        <v>23</v>
      </c>
      <c r="B148" s="234" t="str">
        <f>IF($A148&lt;&gt;0,VLOOKUP($A148,equi,2),"")</f>
        <v>Pulverización Terrestre p/Insecticidas</v>
      </c>
      <c r="C148" s="232">
        <v>2</v>
      </c>
      <c r="D148" s="235">
        <f>IF($A148&lt;&gt;0,VLOOKUP($A148,equi,3),"")</f>
        <v>0.3</v>
      </c>
      <c r="E148" s="165">
        <f>D148*$C$144</f>
        <v>4.2</v>
      </c>
      <c r="F148" s="785">
        <f t="shared" si="93"/>
        <v>8.4</v>
      </c>
      <c r="G148" s="785">
        <f t="shared" si="93"/>
        <v>8.4</v>
      </c>
      <c r="H148" s="786">
        <f t="shared" si="93"/>
        <v>8.4</v>
      </c>
      <c r="I148" s="785">
        <f t="shared" si="93"/>
        <v>8.4</v>
      </c>
      <c r="J148" s="785">
        <f t="shared" si="93"/>
        <v>8.4</v>
      </c>
      <c r="K148" s="785">
        <f t="shared" si="93"/>
        <v>8.4</v>
      </c>
      <c r="M148" s="225">
        <v>18</v>
      </c>
      <c r="N148" s="784" t="str">
        <f>IF($M148&lt;&gt;0,VLOOKUP($M148,equi,2),"")</f>
        <v>Siembra Gruesa - Labranza Cero</v>
      </c>
      <c r="O148" s="232">
        <v>1</v>
      </c>
      <c r="P148" s="235">
        <f>IF($M148&lt;&gt;0,VLOOKUP($M148,equi,3),"")</f>
        <v>0.65</v>
      </c>
      <c r="Q148" s="165">
        <f>P148*$O$146</f>
        <v>9.1</v>
      </c>
      <c r="R148" s="785">
        <f>$Q148*$O148</f>
        <v>9.1</v>
      </c>
      <c r="S148" s="785">
        <f aca="true" t="shared" si="94" ref="S148:W150">$Q148*$O148</f>
        <v>9.1</v>
      </c>
      <c r="T148" s="785">
        <f t="shared" si="94"/>
        <v>9.1</v>
      </c>
      <c r="U148" s="785">
        <f t="shared" si="94"/>
        <v>9.1</v>
      </c>
      <c r="V148" s="785">
        <f t="shared" si="94"/>
        <v>9.1</v>
      </c>
      <c r="W148" s="785">
        <f t="shared" si="94"/>
        <v>9.1</v>
      </c>
      <c r="X148" s="157"/>
    </row>
    <row r="149" spans="1:24" ht="12.75">
      <c r="A149" s="191"/>
      <c r="B149" s="166" t="s">
        <v>913</v>
      </c>
      <c r="C149" s="166"/>
      <c r="D149" s="236"/>
      <c r="E149" s="237"/>
      <c r="F149" s="238">
        <f aca="true" t="shared" si="95" ref="F149:K149">SUM(F146:F148)</f>
        <v>21</v>
      </c>
      <c r="G149" s="239">
        <f t="shared" si="95"/>
        <v>21</v>
      </c>
      <c r="H149" s="733">
        <f t="shared" si="95"/>
        <v>21</v>
      </c>
      <c r="I149" s="240">
        <f t="shared" si="95"/>
        <v>21</v>
      </c>
      <c r="J149" s="239">
        <f t="shared" si="95"/>
        <v>21</v>
      </c>
      <c r="K149" s="239">
        <f t="shared" si="95"/>
        <v>21</v>
      </c>
      <c r="M149" s="225">
        <v>22</v>
      </c>
      <c r="N149" s="784" t="str">
        <f>IF($M149&lt;&gt;0,VLOOKUP($M149,equi,2),"")</f>
        <v>Pulverización Terrestre p/Herbicidas y Defoliantes</v>
      </c>
      <c r="O149" s="232">
        <v>1</v>
      </c>
      <c r="P149" s="235">
        <f>IF($M149&lt;&gt;0,VLOOKUP($M149,equi,3),"")</f>
        <v>0.25</v>
      </c>
      <c r="Q149" s="165">
        <f>P149*$O$146</f>
        <v>3.5</v>
      </c>
      <c r="R149" s="785">
        <f>$Q149*$O149</f>
        <v>3.5</v>
      </c>
      <c r="S149" s="785">
        <f t="shared" si="94"/>
        <v>3.5</v>
      </c>
      <c r="T149" s="785">
        <f t="shared" si="94"/>
        <v>3.5</v>
      </c>
      <c r="U149" s="785">
        <f t="shared" si="94"/>
        <v>3.5</v>
      </c>
      <c r="V149" s="785">
        <f t="shared" si="94"/>
        <v>3.5</v>
      </c>
      <c r="W149" s="785">
        <f t="shared" si="94"/>
        <v>3.5</v>
      </c>
      <c r="X149" s="157"/>
    </row>
    <row r="150" spans="1:24" ht="13.5" thickBot="1">
      <c r="A150" s="191"/>
      <c r="B150" s="166"/>
      <c r="C150" s="170"/>
      <c r="D150" s="241"/>
      <c r="E150" s="157"/>
      <c r="F150" s="242"/>
      <c r="G150" s="243"/>
      <c r="H150" s="157"/>
      <c r="I150" s="157"/>
      <c r="J150" s="244"/>
      <c r="K150" s="244"/>
      <c r="M150" s="225">
        <v>23</v>
      </c>
      <c r="N150" s="784" t="str">
        <f>IF($M150&lt;&gt;0,VLOOKUP($M150,equi,2),"")</f>
        <v>Pulverización Terrestre p/Insecticidas</v>
      </c>
      <c r="O150" s="232">
        <v>2</v>
      </c>
      <c r="P150" s="235">
        <f>IF($M150&lt;&gt;0,VLOOKUP($M150,equi,3),"")</f>
        <v>0.3</v>
      </c>
      <c r="Q150" s="165">
        <f>P150*$O$146</f>
        <v>4.2</v>
      </c>
      <c r="R150" s="785">
        <f>$Q150*$O150</f>
        <v>8.4</v>
      </c>
      <c r="S150" s="785">
        <f t="shared" si="94"/>
        <v>8.4</v>
      </c>
      <c r="T150" s="785">
        <f t="shared" si="94"/>
        <v>8.4</v>
      </c>
      <c r="U150" s="785">
        <f t="shared" si="94"/>
        <v>8.4</v>
      </c>
      <c r="V150" s="785">
        <f t="shared" si="94"/>
        <v>8.4</v>
      </c>
      <c r="W150" s="785">
        <f t="shared" si="94"/>
        <v>8.4</v>
      </c>
      <c r="X150" s="157"/>
    </row>
    <row r="151" spans="1:24" ht="13.5" thickBot="1">
      <c r="A151" s="191"/>
      <c r="B151" s="166"/>
      <c r="C151" s="170" t="s">
        <v>817</v>
      </c>
      <c r="D151" s="245" t="s">
        <v>915</v>
      </c>
      <c r="E151" s="245" t="s">
        <v>916</v>
      </c>
      <c r="F151" s="1152" t="s">
        <v>912</v>
      </c>
      <c r="G151" s="1153"/>
      <c r="H151" s="1153"/>
      <c r="I151" s="1153"/>
      <c r="J151" s="1153"/>
      <c r="K151" s="1154"/>
      <c r="M151" s="191"/>
      <c r="N151" s="166" t="s">
        <v>913</v>
      </c>
      <c r="O151" s="166"/>
      <c r="P151" s="236"/>
      <c r="Q151" s="237"/>
      <c r="R151" s="238">
        <f aca="true" t="shared" si="96" ref="R151:W151">SUM(R148:R150)</f>
        <v>21</v>
      </c>
      <c r="S151" s="239">
        <f t="shared" si="96"/>
        <v>21</v>
      </c>
      <c r="T151" s="240">
        <f t="shared" si="96"/>
        <v>21</v>
      </c>
      <c r="U151" s="240">
        <f t="shared" si="96"/>
        <v>21</v>
      </c>
      <c r="V151" s="239">
        <f t="shared" si="96"/>
        <v>21</v>
      </c>
      <c r="W151" s="239">
        <f t="shared" si="96"/>
        <v>21</v>
      </c>
      <c r="X151" s="157"/>
    </row>
    <row r="152" spans="1:24" ht="13.5" thickBot="1">
      <c r="A152" s="191"/>
      <c r="B152" s="162" t="s">
        <v>292</v>
      </c>
      <c r="C152" s="163">
        <v>95</v>
      </c>
      <c r="D152" s="164">
        <v>0.2</v>
      </c>
      <c r="E152" s="246">
        <f>1*D152</f>
        <v>0.2</v>
      </c>
      <c r="F152" s="794">
        <f aca="true" t="shared" si="97" ref="F152:K154">$E152*$C152</f>
        <v>19</v>
      </c>
      <c r="G152" s="794">
        <f t="shared" si="97"/>
        <v>19</v>
      </c>
      <c r="H152" s="730">
        <f t="shared" si="97"/>
        <v>19</v>
      </c>
      <c r="I152" s="794">
        <f t="shared" si="97"/>
        <v>19</v>
      </c>
      <c r="J152" s="794">
        <f t="shared" si="97"/>
        <v>19</v>
      </c>
      <c r="K152" s="794">
        <f t="shared" si="97"/>
        <v>19</v>
      </c>
      <c r="M152" s="191"/>
      <c r="N152" s="166"/>
      <c r="O152" s="170"/>
      <c r="P152" s="241"/>
      <c r="Q152" s="157"/>
      <c r="R152" s="242"/>
      <c r="S152" s="243"/>
      <c r="T152" s="157"/>
      <c r="U152" s="157"/>
      <c r="V152" s="244"/>
      <c r="W152" s="244"/>
      <c r="X152" s="157"/>
    </row>
    <row r="153" spans="1:24" ht="13.5" thickBot="1">
      <c r="A153" s="191"/>
      <c r="B153" s="162" t="s">
        <v>293</v>
      </c>
      <c r="C153" s="163">
        <v>2.5</v>
      </c>
      <c r="D153" s="164">
        <v>3.5</v>
      </c>
      <c r="E153" s="246">
        <f>1*D153</f>
        <v>3.5</v>
      </c>
      <c r="F153" s="247">
        <f t="shared" si="97"/>
        <v>8.75</v>
      </c>
      <c r="G153" s="247">
        <f t="shared" si="97"/>
        <v>8.75</v>
      </c>
      <c r="H153" s="736">
        <f t="shared" si="97"/>
        <v>8.75</v>
      </c>
      <c r="I153" s="247">
        <f t="shared" si="97"/>
        <v>8.75</v>
      </c>
      <c r="J153" s="247">
        <f t="shared" si="97"/>
        <v>8.75</v>
      </c>
      <c r="K153" s="247">
        <f t="shared" si="97"/>
        <v>8.75</v>
      </c>
      <c r="M153" s="191"/>
      <c r="N153" s="166"/>
      <c r="O153" s="166" t="s">
        <v>817</v>
      </c>
      <c r="P153" s="219" t="s">
        <v>915</v>
      </c>
      <c r="Q153" s="219" t="s">
        <v>916</v>
      </c>
      <c r="R153" s="1136" t="s">
        <v>912</v>
      </c>
      <c r="S153" s="1136"/>
      <c r="T153" s="1136"/>
      <c r="U153" s="1136"/>
      <c r="V153" s="1136"/>
      <c r="W153" s="1137"/>
      <c r="X153" s="157"/>
    </row>
    <row r="154" spans="1:24" ht="12.75">
      <c r="A154" s="191"/>
      <c r="B154" s="162" t="s">
        <v>821</v>
      </c>
      <c r="C154" s="163">
        <v>0.06</v>
      </c>
      <c r="D154" s="164">
        <v>21</v>
      </c>
      <c r="E154" s="246">
        <f>1*D154</f>
        <v>21</v>
      </c>
      <c r="F154" s="247">
        <f t="shared" si="97"/>
        <v>1.26</v>
      </c>
      <c r="G154" s="247">
        <f t="shared" si="97"/>
        <v>1.26</v>
      </c>
      <c r="H154" s="736">
        <f t="shared" si="97"/>
        <v>1.26</v>
      </c>
      <c r="I154" s="247">
        <f t="shared" si="97"/>
        <v>1.26</v>
      </c>
      <c r="J154" s="247">
        <f t="shared" si="97"/>
        <v>1.26</v>
      </c>
      <c r="K154" s="247">
        <f t="shared" si="97"/>
        <v>1.26</v>
      </c>
      <c r="M154" s="191"/>
      <c r="N154" s="162" t="s">
        <v>294</v>
      </c>
      <c r="O154" s="163">
        <v>3.5</v>
      </c>
      <c r="P154" s="164">
        <v>8</v>
      </c>
      <c r="Q154" s="246">
        <f>1*P154</f>
        <v>8</v>
      </c>
      <c r="R154" s="247">
        <f aca="true" t="shared" si="98" ref="R154:W157">$Q154*$O154</f>
        <v>28</v>
      </c>
      <c r="S154" s="247">
        <f t="shared" si="98"/>
        <v>28</v>
      </c>
      <c r="T154" s="247">
        <f t="shared" si="98"/>
        <v>28</v>
      </c>
      <c r="U154" s="247">
        <f t="shared" si="98"/>
        <v>28</v>
      </c>
      <c r="V154" s="247">
        <f t="shared" si="98"/>
        <v>28</v>
      </c>
      <c r="W154" s="247">
        <f t="shared" si="98"/>
        <v>28</v>
      </c>
      <c r="X154" s="157"/>
    </row>
    <row r="155" spans="1:24" ht="12.75">
      <c r="A155" s="191"/>
      <c r="B155" s="166" t="s">
        <v>823</v>
      </c>
      <c r="C155" s="166"/>
      <c r="D155" s="167"/>
      <c r="E155" s="681"/>
      <c r="F155" s="739">
        <f aca="true" t="shared" si="99" ref="F155:K155">SUM(F152:F154)</f>
        <v>29.01</v>
      </c>
      <c r="G155" s="280">
        <f t="shared" si="99"/>
        <v>29.01</v>
      </c>
      <c r="H155" s="738">
        <f t="shared" si="99"/>
        <v>29.01</v>
      </c>
      <c r="I155" s="739">
        <f t="shared" si="99"/>
        <v>29.01</v>
      </c>
      <c r="J155" s="280">
        <f t="shared" si="99"/>
        <v>29.01</v>
      </c>
      <c r="K155" s="280">
        <f t="shared" si="99"/>
        <v>29.01</v>
      </c>
      <c r="M155" s="191"/>
      <c r="N155" s="162" t="s">
        <v>820</v>
      </c>
      <c r="O155" s="163">
        <v>1.8</v>
      </c>
      <c r="P155" s="164">
        <v>6.28</v>
      </c>
      <c r="Q155" s="246">
        <f>1*P155</f>
        <v>6.28</v>
      </c>
      <c r="R155" s="247">
        <f t="shared" si="98"/>
        <v>11.304</v>
      </c>
      <c r="S155" s="247">
        <f t="shared" si="98"/>
        <v>11.304</v>
      </c>
      <c r="T155" s="247">
        <f t="shared" si="98"/>
        <v>11.304</v>
      </c>
      <c r="U155" s="247">
        <f t="shared" si="98"/>
        <v>11.304</v>
      </c>
      <c r="V155" s="247">
        <f t="shared" si="98"/>
        <v>11.304</v>
      </c>
      <c r="W155" s="247">
        <f t="shared" si="98"/>
        <v>11.304</v>
      </c>
      <c r="X155" s="157"/>
    </row>
    <row r="156" spans="1:24" ht="12.75">
      <c r="A156" s="191"/>
      <c r="B156" s="180"/>
      <c r="C156" s="180"/>
      <c r="D156" s="171"/>
      <c r="E156" s="157"/>
      <c r="F156" s="171"/>
      <c r="G156" s="244"/>
      <c r="H156" s="244"/>
      <c r="I156" s="157"/>
      <c r="J156" s="244"/>
      <c r="K156" s="244"/>
      <c r="M156" s="191"/>
      <c r="N156" s="162" t="s">
        <v>295</v>
      </c>
      <c r="O156" s="163">
        <v>3</v>
      </c>
      <c r="P156" s="164">
        <v>12</v>
      </c>
      <c r="Q156" s="246">
        <f>1*P156</f>
        <v>12</v>
      </c>
      <c r="R156" s="247">
        <f t="shared" si="98"/>
        <v>36</v>
      </c>
      <c r="S156" s="247">
        <f t="shared" si="98"/>
        <v>36</v>
      </c>
      <c r="T156" s="247">
        <f t="shared" si="98"/>
        <v>36</v>
      </c>
      <c r="U156" s="247">
        <f t="shared" si="98"/>
        <v>36</v>
      </c>
      <c r="V156" s="247">
        <f t="shared" si="98"/>
        <v>36</v>
      </c>
      <c r="W156" s="247">
        <f t="shared" si="98"/>
        <v>36</v>
      </c>
      <c r="X156" s="157"/>
    </row>
    <row r="157" spans="1:24" ht="12.75">
      <c r="A157" s="191"/>
      <c r="B157" s="166" t="s">
        <v>918</v>
      </c>
      <c r="C157" s="170"/>
      <c r="D157" s="180"/>
      <c r="E157" s="157"/>
      <c r="F157" s="250">
        <f aca="true" t="shared" si="100" ref="F157:K157">F149+F155</f>
        <v>50.010000000000005</v>
      </c>
      <c r="G157" s="282">
        <f t="shared" si="100"/>
        <v>50.010000000000005</v>
      </c>
      <c r="H157" s="821">
        <f t="shared" si="100"/>
        <v>50.010000000000005</v>
      </c>
      <c r="I157" s="250">
        <f t="shared" si="100"/>
        <v>50.010000000000005</v>
      </c>
      <c r="J157" s="282">
        <f t="shared" si="100"/>
        <v>50.010000000000005</v>
      </c>
      <c r="K157" s="282">
        <f t="shared" si="100"/>
        <v>50.010000000000005</v>
      </c>
      <c r="M157" s="191"/>
      <c r="N157" s="162" t="s">
        <v>821</v>
      </c>
      <c r="O157" s="163">
        <v>0.06</v>
      </c>
      <c r="P157" s="164">
        <v>21</v>
      </c>
      <c r="Q157" s="246">
        <f>1*P157</f>
        <v>21</v>
      </c>
      <c r="R157" s="247">
        <f t="shared" si="98"/>
        <v>1.26</v>
      </c>
      <c r="S157" s="247">
        <f t="shared" si="98"/>
        <v>1.26</v>
      </c>
      <c r="T157" s="247">
        <f t="shared" si="98"/>
        <v>1.26</v>
      </c>
      <c r="U157" s="247">
        <f t="shared" si="98"/>
        <v>1.26</v>
      </c>
      <c r="V157" s="247">
        <f t="shared" si="98"/>
        <v>1.26</v>
      </c>
      <c r="W157" s="247">
        <f t="shared" si="98"/>
        <v>1.26</v>
      </c>
      <c r="X157" s="157"/>
    </row>
    <row r="158" spans="1:24" ht="12.75">
      <c r="A158" s="191"/>
      <c r="B158" s="170"/>
      <c r="C158" s="170"/>
      <c r="D158" s="180"/>
      <c r="E158" s="157"/>
      <c r="F158" s="745"/>
      <c r="G158" s="746"/>
      <c r="H158" s="745"/>
      <c r="I158" s="745"/>
      <c r="J158" s="746"/>
      <c r="K158" s="746"/>
      <c r="M158" s="191"/>
      <c r="N158" s="166" t="s">
        <v>823</v>
      </c>
      <c r="O158" s="166"/>
      <c r="P158" s="167"/>
      <c r="Q158" s="681"/>
      <c r="R158" s="167">
        <f aca="true" t="shared" si="101" ref="R158:W158">SUM(R154:R157)</f>
        <v>76.56400000000001</v>
      </c>
      <c r="S158" s="279">
        <f t="shared" si="101"/>
        <v>76.56400000000001</v>
      </c>
      <c r="T158" s="167">
        <f t="shared" si="101"/>
        <v>76.56400000000001</v>
      </c>
      <c r="U158" s="167">
        <f t="shared" si="101"/>
        <v>76.56400000000001</v>
      </c>
      <c r="V158" s="279">
        <f t="shared" si="101"/>
        <v>76.56400000000001</v>
      </c>
      <c r="W158" s="279">
        <f t="shared" si="101"/>
        <v>76.56400000000001</v>
      </c>
      <c r="X158" s="157"/>
    </row>
    <row r="159" spans="1:24" ht="13.5" thickBot="1">
      <c r="A159" s="191"/>
      <c r="B159" s="180"/>
      <c r="C159" s="180"/>
      <c r="D159" s="171"/>
      <c r="E159" s="251"/>
      <c r="F159" s="171"/>
      <c r="G159" s="244"/>
      <c r="H159" s="157"/>
      <c r="I159" s="157"/>
      <c r="J159" s="244"/>
      <c r="K159" s="244"/>
      <c r="M159" s="191"/>
      <c r="N159" s="180"/>
      <c r="O159" s="180"/>
      <c r="P159" s="171"/>
      <c r="Q159" s="157"/>
      <c r="R159" s="171"/>
      <c r="S159" s="244"/>
      <c r="T159" s="157"/>
      <c r="U159" s="157"/>
      <c r="V159" s="244"/>
      <c r="W159" s="244"/>
      <c r="X159" s="157"/>
    </row>
    <row r="160" spans="1:24" ht="13.5" thickBot="1">
      <c r="A160" s="191"/>
      <c r="B160" s="166" t="s">
        <v>824</v>
      </c>
      <c r="C160" s="170"/>
      <c r="D160" s="250" t="s">
        <v>825</v>
      </c>
      <c r="E160" s="251"/>
      <c r="F160" s="1152" t="s">
        <v>912</v>
      </c>
      <c r="G160" s="1153"/>
      <c r="H160" s="1153"/>
      <c r="I160" s="1153"/>
      <c r="J160" s="1153"/>
      <c r="K160" s="1154"/>
      <c r="M160" s="191"/>
      <c r="N160" s="166" t="s">
        <v>918</v>
      </c>
      <c r="O160" s="166"/>
      <c r="P160" s="162"/>
      <c r="Q160" s="681"/>
      <c r="R160" s="739">
        <f aca="true" t="shared" si="102" ref="R160:W160">R151+R158</f>
        <v>97.56400000000001</v>
      </c>
      <c r="S160" s="280">
        <f t="shared" si="102"/>
        <v>97.56400000000001</v>
      </c>
      <c r="T160" s="739">
        <f t="shared" si="102"/>
        <v>97.56400000000001</v>
      </c>
      <c r="U160" s="739">
        <f t="shared" si="102"/>
        <v>97.56400000000001</v>
      </c>
      <c r="V160" s="280">
        <f t="shared" si="102"/>
        <v>97.56400000000001</v>
      </c>
      <c r="W160" s="280">
        <f t="shared" si="102"/>
        <v>97.56400000000001</v>
      </c>
      <c r="X160" s="157"/>
    </row>
    <row r="161" spans="1:24" ht="13.5" thickBot="1">
      <c r="A161" s="191"/>
      <c r="B161" s="162" t="s">
        <v>826</v>
      </c>
      <c r="C161" s="181">
        <v>0.1</v>
      </c>
      <c r="D161" s="165">
        <f>C161*D141*H138</f>
        <v>7.225</v>
      </c>
      <c r="E161" s="306">
        <f>1*D161</f>
        <v>7.225</v>
      </c>
      <c r="F161" s="832">
        <f aca="true" t="shared" si="103" ref="F161:K161">$E161*F140/1000</f>
        <v>10.115</v>
      </c>
      <c r="G161" s="832">
        <f t="shared" si="103"/>
        <v>10.8375</v>
      </c>
      <c r="H161" s="833">
        <f t="shared" si="103"/>
        <v>11.92125</v>
      </c>
      <c r="I161" s="832">
        <f t="shared" si="103"/>
        <v>13.005</v>
      </c>
      <c r="J161" s="832">
        <f t="shared" si="103"/>
        <v>18.0625</v>
      </c>
      <c r="K161" s="832">
        <f t="shared" si="103"/>
        <v>12.70155</v>
      </c>
      <c r="M161" s="191"/>
      <c r="N161" s="170"/>
      <c r="O161" s="170"/>
      <c r="P161" s="180"/>
      <c r="Q161" s="157"/>
      <c r="R161" s="745"/>
      <c r="S161" s="746"/>
      <c r="T161" s="745"/>
      <c r="U161" s="745"/>
      <c r="V161" s="746"/>
      <c r="W161" s="746"/>
      <c r="X161" s="157"/>
    </row>
    <row r="162" spans="1:24" ht="13.5" thickBot="1">
      <c r="A162" s="191"/>
      <c r="B162" s="162" t="s">
        <v>827</v>
      </c>
      <c r="C162" s="181">
        <v>15</v>
      </c>
      <c r="D162" s="155">
        <f>1*C162</f>
        <v>15</v>
      </c>
      <c r="E162" s="155">
        <f>1*D162</f>
        <v>15</v>
      </c>
      <c r="F162" s="167">
        <f aca="true" t="shared" si="104" ref="F162:K162">$E162*F140/1000</f>
        <v>21</v>
      </c>
      <c r="G162" s="167">
        <f t="shared" si="104"/>
        <v>22.5</v>
      </c>
      <c r="H162" s="795">
        <f t="shared" si="104"/>
        <v>24.75</v>
      </c>
      <c r="I162" s="167">
        <f t="shared" si="104"/>
        <v>27</v>
      </c>
      <c r="J162" s="167">
        <f t="shared" si="104"/>
        <v>37.5</v>
      </c>
      <c r="K162" s="167">
        <f t="shared" si="104"/>
        <v>26.37</v>
      </c>
      <c r="M162" s="191"/>
      <c r="N162" s="166" t="s">
        <v>824</v>
      </c>
      <c r="O162" s="170"/>
      <c r="P162" s="250" t="s">
        <v>825</v>
      </c>
      <c r="Q162" s="251"/>
      <c r="R162" s="1135" t="s">
        <v>912</v>
      </c>
      <c r="S162" s="1136"/>
      <c r="T162" s="1136"/>
      <c r="U162" s="1136"/>
      <c r="V162" s="1136"/>
      <c r="W162" s="1137"/>
      <c r="X162" s="157"/>
    </row>
    <row r="163" spans="1:24" ht="12.75">
      <c r="A163" s="191"/>
      <c r="B163" s="174" t="s">
        <v>828</v>
      </c>
      <c r="C163" s="246">
        <v>0.01</v>
      </c>
      <c r="D163" s="306">
        <f>C163*D141*H138</f>
        <v>0.7224999999999999</v>
      </c>
      <c r="E163" s="306">
        <f>1*D163</f>
        <v>0.7224999999999999</v>
      </c>
      <c r="F163" s="167">
        <f aca="true" t="shared" si="105" ref="F163:K163">$E163*F140/1000</f>
        <v>1.0114999999999998</v>
      </c>
      <c r="G163" s="167">
        <f t="shared" si="105"/>
        <v>1.0837499999999998</v>
      </c>
      <c r="H163" s="795">
        <f t="shared" si="105"/>
        <v>1.1921249999999999</v>
      </c>
      <c r="I163" s="167">
        <f t="shared" si="105"/>
        <v>1.3004999999999998</v>
      </c>
      <c r="J163" s="167">
        <f t="shared" si="105"/>
        <v>1.8062499999999997</v>
      </c>
      <c r="K163" s="167">
        <f t="shared" si="105"/>
        <v>1.270155</v>
      </c>
      <c r="M163" s="191"/>
      <c r="N163" s="162" t="s">
        <v>826</v>
      </c>
      <c r="O163" s="252">
        <v>0.1</v>
      </c>
      <c r="P163" s="165">
        <f>O163*P143*$T$140</f>
        <v>10.8</v>
      </c>
      <c r="Q163" s="306">
        <f>1*P163</f>
        <v>10.8</v>
      </c>
      <c r="R163" s="167">
        <f aca="true" t="shared" si="106" ref="R163:W163">$Q163*R142/1000</f>
        <v>10.8</v>
      </c>
      <c r="S163" s="167">
        <f t="shared" si="106"/>
        <v>12.96</v>
      </c>
      <c r="T163" s="167">
        <f t="shared" si="106"/>
        <v>16.200000000000003</v>
      </c>
      <c r="U163" s="167">
        <f t="shared" si="106"/>
        <v>19.44</v>
      </c>
      <c r="V163" s="167">
        <f t="shared" si="106"/>
        <v>22.68</v>
      </c>
      <c r="W163" s="167">
        <f t="shared" si="106"/>
        <v>14.9472</v>
      </c>
      <c r="X163" s="157"/>
    </row>
    <row r="164" spans="1:24" ht="12.75">
      <c r="A164" s="191"/>
      <c r="B164" s="174" t="s">
        <v>520</v>
      </c>
      <c r="C164" s="175">
        <v>0.00121</v>
      </c>
      <c r="D164" s="306">
        <f>C164*D141*H138</f>
        <v>0.0874225</v>
      </c>
      <c r="E164" s="306">
        <f>1*D164</f>
        <v>0.0874225</v>
      </c>
      <c r="F164" s="167">
        <f aca="true" t="shared" si="107" ref="F164:K164">$E164*F140/1000</f>
        <v>0.1223915</v>
      </c>
      <c r="G164" s="167">
        <f t="shared" si="107"/>
        <v>0.13113375</v>
      </c>
      <c r="H164" s="795">
        <f t="shared" si="107"/>
        <v>0.144247125</v>
      </c>
      <c r="I164" s="167">
        <f t="shared" si="107"/>
        <v>0.15736050000000001</v>
      </c>
      <c r="J164" s="167">
        <f t="shared" si="107"/>
        <v>0.21855625</v>
      </c>
      <c r="K164" s="167">
        <f t="shared" si="107"/>
        <v>0.15368875499999998</v>
      </c>
      <c r="M164" s="191"/>
      <c r="N164" s="162" t="s">
        <v>827</v>
      </c>
      <c r="O164" s="252">
        <v>15</v>
      </c>
      <c r="P164" s="155">
        <f>1*O164</f>
        <v>15</v>
      </c>
      <c r="Q164" s="155">
        <f>1*P164</f>
        <v>15</v>
      </c>
      <c r="R164" s="167">
        <f aca="true" t="shared" si="108" ref="R164:W164">$Q164*R142/1000</f>
        <v>15</v>
      </c>
      <c r="S164" s="167">
        <f t="shared" si="108"/>
        <v>18</v>
      </c>
      <c r="T164" s="167">
        <f t="shared" si="108"/>
        <v>22.5</v>
      </c>
      <c r="U164" s="167">
        <f t="shared" si="108"/>
        <v>27</v>
      </c>
      <c r="V164" s="167">
        <f t="shared" si="108"/>
        <v>31.5</v>
      </c>
      <c r="W164" s="167">
        <f t="shared" si="108"/>
        <v>20.76</v>
      </c>
      <c r="X164" s="157"/>
    </row>
    <row r="165" spans="1:24" ht="12.75">
      <c r="A165" s="191"/>
      <c r="B165" s="166" t="s">
        <v>829</v>
      </c>
      <c r="C165" s="176"/>
      <c r="D165" s="739">
        <f aca="true" t="shared" si="109" ref="D165:K165">SUM(D161:D164)</f>
        <v>23.0349225</v>
      </c>
      <c r="E165" s="739">
        <f t="shared" si="109"/>
        <v>23.0349225</v>
      </c>
      <c r="F165" s="739">
        <f t="shared" si="109"/>
        <v>32.2488915</v>
      </c>
      <c r="G165" s="280">
        <f t="shared" si="109"/>
        <v>34.55238375</v>
      </c>
      <c r="H165" s="738">
        <f t="shared" si="109"/>
        <v>38.007622125</v>
      </c>
      <c r="I165" s="739">
        <f t="shared" si="109"/>
        <v>41.462860500000005</v>
      </c>
      <c r="J165" s="280">
        <f t="shared" si="109"/>
        <v>57.58730625</v>
      </c>
      <c r="K165" s="280">
        <f t="shared" si="109"/>
        <v>40.495393755</v>
      </c>
      <c r="M165" s="191"/>
      <c r="N165" s="174" t="s">
        <v>828</v>
      </c>
      <c r="O165" s="253">
        <v>0.01</v>
      </c>
      <c r="P165" s="306">
        <f>O165*P143*T140</f>
        <v>1.08</v>
      </c>
      <c r="Q165" s="306">
        <f>1*P165</f>
        <v>1.08</v>
      </c>
      <c r="R165" s="167">
        <f aca="true" t="shared" si="110" ref="R165:W165">$Q165*R142/1000</f>
        <v>1.08</v>
      </c>
      <c r="S165" s="167">
        <f t="shared" si="110"/>
        <v>1.296</v>
      </c>
      <c r="T165" s="167">
        <f t="shared" si="110"/>
        <v>1.62</v>
      </c>
      <c r="U165" s="167">
        <f t="shared" si="110"/>
        <v>1.9440000000000002</v>
      </c>
      <c r="V165" s="167">
        <f t="shared" si="110"/>
        <v>2.268</v>
      </c>
      <c r="W165" s="167">
        <f t="shared" si="110"/>
        <v>1.49472</v>
      </c>
      <c r="X165" s="157"/>
    </row>
    <row r="166" spans="1:24" ht="12.75">
      <c r="A166" s="191"/>
      <c r="B166" s="180"/>
      <c r="C166" s="157"/>
      <c r="D166" s="756"/>
      <c r="E166" s="157"/>
      <c r="F166" s="171"/>
      <c r="G166" s="244"/>
      <c r="H166" s="244"/>
      <c r="I166" s="157"/>
      <c r="J166" s="244"/>
      <c r="K166" s="244"/>
      <c r="M166" s="191"/>
      <c r="N166" s="174" t="s">
        <v>520</v>
      </c>
      <c r="O166" s="253">
        <v>0.00121</v>
      </c>
      <c r="P166" s="306">
        <f>O166*P143*T140</f>
        <v>0.13068</v>
      </c>
      <c r="Q166" s="306">
        <f>1*P166</f>
        <v>0.13068</v>
      </c>
      <c r="R166" s="167">
        <f aca="true" t="shared" si="111" ref="R166:W166">$Q166*R142/1000</f>
        <v>0.13068</v>
      </c>
      <c r="S166" s="167">
        <f t="shared" si="111"/>
        <v>0.156816</v>
      </c>
      <c r="T166" s="167">
        <f t="shared" si="111"/>
        <v>0.19601999999999997</v>
      </c>
      <c r="U166" s="167">
        <f t="shared" si="111"/>
        <v>0.235224</v>
      </c>
      <c r="V166" s="167">
        <f t="shared" si="111"/>
        <v>0.274428</v>
      </c>
      <c r="W166" s="167">
        <f t="shared" si="111"/>
        <v>0.18086112</v>
      </c>
      <c r="X166" s="157"/>
    </row>
    <row r="167" spans="1:24" ht="15">
      <c r="A167" s="191"/>
      <c r="B167" s="757" t="s">
        <v>921</v>
      </c>
      <c r="C167" s="758"/>
      <c r="D167" s="759"/>
      <c r="E167" s="157"/>
      <c r="F167" s="828">
        <f aca="true" t="shared" si="112" ref="F167:K167">F149+F155+F165</f>
        <v>82.2588915</v>
      </c>
      <c r="G167" s="827">
        <f t="shared" si="112"/>
        <v>84.56238375000001</v>
      </c>
      <c r="H167" s="826">
        <f t="shared" si="112"/>
        <v>88.017622125</v>
      </c>
      <c r="I167" s="828">
        <f t="shared" si="112"/>
        <v>91.47286050000001</v>
      </c>
      <c r="J167" s="827">
        <f t="shared" si="112"/>
        <v>107.59730625</v>
      </c>
      <c r="K167" s="827">
        <f t="shared" si="112"/>
        <v>90.505393755</v>
      </c>
      <c r="M167" s="191"/>
      <c r="N167" s="166" t="s">
        <v>829</v>
      </c>
      <c r="O167" s="176"/>
      <c r="P167" s="739">
        <f aca="true" t="shared" si="113" ref="P167:W167">SUM(P163:P166)</f>
        <v>27.010680000000004</v>
      </c>
      <c r="Q167" s="739">
        <f t="shared" si="113"/>
        <v>27.010680000000004</v>
      </c>
      <c r="R167" s="739">
        <f t="shared" si="113"/>
        <v>27.010680000000004</v>
      </c>
      <c r="S167" s="280">
        <f t="shared" si="113"/>
        <v>32.412816</v>
      </c>
      <c r="T167" s="739">
        <f t="shared" si="113"/>
        <v>40.51602</v>
      </c>
      <c r="U167" s="739">
        <f t="shared" si="113"/>
        <v>48.619224</v>
      </c>
      <c r="V167" s="280">
        <f t="shared" si="113"/>
        <v>56.722428</v>
      </c>
      <c r="W167" s="280">
        <f t="shared" si="113"/>
        <v>37.382781120000004</v>
      </c>
      <c r="X167" s="157"/>
    </row>
    <row r="168" spans="1:24" ht="15.75" thickBot="1">
      <c r="A168" s="191"/>
      <c r="B168" s="206" t="s">
        <v>922</v>
      </c>
      <c r="C168" s="255"/>
      <c r="D168" s="256"/>
      <c r="E168" s="157"/>
      <c r="F168" s="250">
        <f aca="true" t="shared" si="114" ref="F168:K168">F142-F167</f>
        <v>18.8911085</v>
      </c>
      <c r="G168" s="282">
        <f t="shared" si="114"/>
        <v>23.81261624999999</v>
      </c>
      <c r="H168" s="821">
        <f t="shared" si="114"/>
        <v>31.194877875000003</v>
      </c>
      <c r="I168" s="250">
        <f t="shared" si="114"/>
        <v>38.5771395</v>
      </c>
      <c r="J168" s="250">
        <f t="shared" si="114"/>
        <v>73.02769375</v>
      </c>
      <c r="K168" s="250">
        <f t="shared" si="114"/>
        <v>36.510106245</v>
      </c>
      <c r="M168" s="191"/>
      <c r="N168" s="180"/>
      <c r="O168" s="157"/>
      <c r="P168" s="756"/>
      <c r="Q168" s="157"/>
      <c r="R168" s="171"/>
      <c r="S168" s="244"/>
      <c r="T168" s="157"/>
      <c r="U168" s="157"/>
      <c r="V168" s="244"/>
      <c r="W168" s="244"/>
      <c r="X168" s="157"/>
    </row>
    <row r="169" spans="1:24" ht="15.75" thickBot="1">
      <c r="A169" s="191"/>
      <c r="B169" s="201" t="s">
        <v>923</v>
      </c>
      <c r="C169" s="258"/>
      <c r="D169" s="771">
        <f>(F157)/(D141*H138-D165)*1000</f>
        <v>1016.1520115456489</v>
      </c>
      <c r="H169" s="65"/>
      <c r="M169" s="191"/>
      <c r="N169" s="609" t="s">
        <v>921</v>
      </c>
      <c r="O169" s="610"/>
      <c r="P169" s="611"/>
      <c r="Q169" s="605"/>
      <c r="R169" s="834">
        <f aca="true" t="shared" si="115" ref="R169:W169">R151+R158+R167</f>
        <v>124.57468000000001</v>
      </c>
      <c r="S169" s="835">
        <f t="shared" si="115"/>
        <v>129.976816</v>
      </c>
      <c r="T169" s="834">
        <f t="shared" si="115"/>
        <v>138.08002</v>
      </c>
      <c r="U169" s="834">
        <f t="shared" si="115"/>
        <v>146.183224</v>
      </c>
      <c r="V169" s="835">
        <f t="shared" si="115"/>
        <v>154.286428</v>
      </c>
      <c r="W169" s="836">
        <f t="shared" si="115"/>
        <v>134.94678112000003</v>
      </c>
      <c r="X169" s="157"/>
    </row>
    <row r="170" spans="1:24" ht="15.75" thickBot="1">
      <c r="A170" s="191"/>
      <c r="B170" s="260" t="s">
        <v>924</v>
      </c>
      <c r="C170" s="261"/>
      <c r="D170" s="261"/>
      <c r="E170" s="261"/>
      <c r="F170" s="263">
        <f aca="true" t="shared" si="116" ref="F170:K170">(F157+$D$162*F140/1000)/((F140/1000-F140/1000*($C$161+$C$163+$C$164)))/$H$138</f>
        <v>67.13877170936108</v>
      </c>
      <c r="G170" s="263">
        <f t="shared" si="116"/>
        <v>63.986530266198</v>
      </c>
      <c r="H170" s="263">
        <f t="shared" si="116"/>
        <v>59.974586611263184</v>
      </c>
      <c r="I170" s="263">
        <f t="shared" si="116"/>
        <v>56.63130023215083</v>
      </c>
      <c r="J170" s="263">
        <f t="shared" si="116"/>
        <v>46.33397818448479</v>
      </c>
      <c r="K170" s="263">
        <f t="shared" si="116"/>
        <v>57.50991132836807</v>
      </c>
      <c r="M170" s="191"/>
      <c r="N170" s="837" t="s">
        <v>922</v>
      </c>
      <c r="O170" s="202"/>
      <c r="P170" s="838"/>
      <c r="Q170" s="605"/>
      <c r="R170" s="839">
        <f aca="true" t="shared" si="117" ref="R170:W170">R144-R169</f>
        <v>-16.574680000000015</v>
      </c>
      <c r="S170" s="840">
        <f t="shared" si="117"/>
        <v>-0.37681600000001936</v>
      </c>
      <c r="T170" s="839">
        <f t="shared" si="117"/>
        <v>23.91998000000001</v>
      </c>
      <c r="U170" s="839">
        <f t="shared" si="117"/>
        <v>48.21677600000001</v>
      </c>
      <c r="V170" s="839">
        <f t="shared" si="117"/>
        <v>72.51357200000001</v>
      </c>
      <c r="W170" s="841">
        <f t="shared" si="117"/>
        <v>14.525218879999983</v>
      </c>
      <c r="X170" s="157"/>
    </row>
    <row r="171" spans="13:24" ht="13.5" thickBot="1">
      <c r="M171" s="191"/>
      <c r="N171" s="176" t="s">
        <v>923</v>
      </c>
      <c r="O171" s="814"/>
      <c r="P171" s="815">
        <f>(R160)/(P143*T140-P167)*1000</f>
        <v>1204.6526628449283</v>
      </c>
      <c r="X171" s="157"/>
    </row>
    <row r="172" spans="2:23" ht="13.5" thickBot="1">
      <c r="B172" s="776" t="s">
        <v>521</v>
      </c>
      <c r="M172" s="191"/>
      <c r="N172" s="260" t="s">
        <v>924</v>
      </c>
      <c r="O172" s="261"/>
      <c r="P172" s="261"/>
      <c r="Q172" s="261"/>
      <c r="R172" s="263">
        <f aca="true" t="shared" si="118" ref="R172:W172">(R160+$P$164*R142/1000)/(R142/1000-R142/1000*($O$163+$O$165+$O$166))/$T$140</f>
        <v>158.310737069499</v>
      </c>
      <c r="S172" s="263">
        <f t="shared" si="118"/>
        <v>135.44163038137992</v>
      </c>
      <c r="T172" s="263">
        <f t="shared" si="118"/>
        <v>112.57252369326086</v>
      </c>
      <c r="U172" s="263">
        <f t="shared" si="118"/>
        <v>97.32645256784816</v>
      </c>
      <c r="V172" s="263">
        <f t="shared" si="118"/>
        <v>86.43640176398196</v>
      </c>
      <c r="W172" s="263">
        <f t="shared" si="118"/>
        <v>120.23962304534706</v>
      </c>
    </row>
    <row r="173" ht="12.75">
      <c r="M173" s="191"/>
    </row>
    <row r="174" spans="1:14" ht="12.75">
      <c r="A174" s="191"/>
      <c r="N174" s="776" t="s">
        <v>521</v>
      </c>
    </row>
    <row r="175" ht="12.75">
      <c r="A175" s="191"/>
    </row>
    <row r="176" ht="12.75">
      <c r="A176" s="191"/>
    </row>
    <row r="177" spans="1:22" ht="12.75">
      <c r="A177" s="191"/>
      <c r="M177" s="191"/>
      <c r="N177" s="842"/>
      <c r="O177" s="842"/>
      <c r="P177" s="842"/>
      <c r="Q177" s="842"/>
      <c r="R177" s="843"/>
      <c r="S177" s="843"/>
      <c r="T177" s="843"/>
      <c r="U177" s="843"/>
      <c r="V177" s="843"/>
    </row>
    <row r="178" spans="1:23" ht="15.75">
      <c r="A178" s="1131" t="s">
        <v>514</v>
      </c>
      <c r="B178" s="1131"/>
      <c r="C178" s="1131"/>
      <c r="D178" s="1131"/>
      <c r="E178" s="1131"/>
      <c r="F178" s="1131"/>
      <c r="G178" s="1131"/>
      <c r="H178" s="1131"/>
      <c r="I178" s="1131"/>
      <c r="J178" s="1131"/>
      <c r="K178" s="1131"/>
      <c r="L178" s="779"/>
      <c r="M178" s="1158" t="s">
        <v>522</v>
      </c>
      <c r="N178" s="1158"/>
      <c r="O178" s="1158"/>
      <c r="P178" s="1158"/>
      <c r="Q178" s="1158"/>
      <c r="R178" s="1158"/>
      <c r="S178" s="1158"/>
      <c r="T178" s="1158"/>
      <c r="U178" s="1158"/>
      <c r="V178" s="1158"/>
      <c r="W178" s="1158"/>
    </row>
    <row r="179" spans="1:15" ht="15.75">
      <c r="A179" s="191"/>
      <c r="B179" s="57" t="s">
        <v>898</v>
      </c>
      <c r="C179" s="844" t="s">
        <v>329</v>
      </c>
      <c r="D179" s="845"/>
      <c r="E179" s="845"/>
      <c r="F179" s="845"/>
      <c r="G179" s="845"/>
      <c r="H179" s="845"/>
      <c r="I179" s="845"/>
      <c r="J179" s="845"/>
      <c r="K179" s="845"/>
      <c r="M179" s="191"/>
      <c r="N179" s="57" t="s">
        <v>833</v>
      </c>
      <c r="O179" s="158" t="s">
        <v>515</v>
      </c>
    </row>
    <row r="180" spans="1:20" ht="16.5" thickBot="1">
      <c r="A180" s="191"/>
      <c r="B180" s="57" t="s">
        <v>899</v>
      </c>
      <c r="C180" s="846"/>
      <c r="D180" s="845"/>
      <c r="E180" s="845"/>
      <c r="F180" t="s">
        <v>518</v>
      </c>
      <c r="G180" s="847">
        <v>0.85</v>
      </c>
      <c r="H180" s="845"/>
      <c r="I180" s="845"/>
      <c r="J180" s="845"/>
      <c r="K180" s="845"/>
      <c r="M180" s="191"/>
      <c r="N180" s="57" t="s">
        <v>899</v>
      </c>
      <c r="O180" s="158">
        <v>80</v>
      </c>
      <c r="S180" s="848" t="s">
        <v>328</v>
      </c>
      <c r="T180" s="20">
        <v>1</v>
      </c>
    </row>
    <row r="181" spans="1:23" ht="12" customHeight="1" thickBot="1">
      <c r="A181" s="191"/>
      <c r="B181" s="849" t="s">
        <v>296</v>
      </c>
      <c r="C181" s="850" t="s">
        <v>297</v>
      </c>
      <c r="D181" s="851" t="s">
        <v>817</v>
      </c>
      <c r="E181" s="852"/>
      <c r="F181" s="1159" t="s">
        <v>298</v>
      </c>
      <c r="G181" s="1160"/>
      <c r="H181" s="1160"/>
      <c r="I181" s="1160"/>
      <c r="J181" s="1161"/>
      <c r="K181" s="712" t="s">
        <v>904</v>
      </c>
      <c r="M181" s="191"/>
      <c r="N181" s="853" t="s">
        <v>901</v>
      </c>
      <c r="O181" s="854" t="s">
        <v>902</v>
      </c>
      <c r="R181" s="855" t="s">
        <v>332</v>
      </c>
      <c r="S181" s="856"/>
      <c r="T181" s="856"/>
      <c r="U181" s="856"/>
      <c r="V181" s="857"/>
      <c r="W181" s="159" t="s">
        <v>904</v>
      </c>
    </row>
    <row r="182" spans="1:23" ht="12" customHeight="1" thickBot="1">
      <c r="A182" s="191"/>
      <c r="B182" s="858"/>
      <c r="C182" s="859" t="s">
        <v>905</v>
      </c>
      <c r="D182" s="860"/>
      <c r="E182" s="861"/>
      <c r="F182" s="862">
        <v>1300</v>
      </c>
      <c r="G182" s="863">
        <v>1500</v>
      </c>
      <c r="H182" s="864">
        <v>1750</v>
      </c>
      <c r="I182" s="864">
        <v>2000</v>
      </c>
      <c r="J182" s="864">
        <v>2300</v>
      </c>
      <c r="K182" s="159">
        <v>1800</v>
      </c>
      <c r="M182" s="191"/>
      <c r="N182" s="713"/>
      <c r="O182" s="206" t="s">
        <v>905</v>
      </c>
      <c r="R182" s="865">
        <v>800</v>
      </c>
      <c r="S182" s="865">
        <v>1000</v>
      </c>
      <c r="T182" s="865">
        <v>1200</v>
      </c>
      <c r="U182" s="865">
        <v>1400</v>
      </c>
      <c r="V182" s="865">
        <v>1600</v>
      </c>
      <c r="W182" s="159">
        <v>1350</v>
      </c>
    </row>
    <row r="183" spans="1:22" ht="12" customHeight="1">
      <c r="A183" s="191"/>
      <c r="B183" s="866" t="s">
        <v>299</v>
      </c>
      <c r="C183" s="867"/>
      <c r="D183" s="221"/>
      <c r="E183" s="868"/>
      <c r="F183" s="868"/>
      <c r="G183" s="868"/>
      <c r="H183" s="868"/>
      <c r="I183" s="868"/>
      <c r="J183" s="868"/>
      <c r="K183" s="868"/>
      <c r="M183" s="191"/>
      <c r="N183" s="180" t="s">
        <v>333</v>
      </c>
      <c r="O183" s="869">
        <v>140</v>
      </c>
      <c r="P183" s="870"/>
      <c r="R183" s="870"/>
      <c r="S183" s="870"/>
      <c r="T183" s="870"/>
      <c r="U183" s="870"/>
      <c r="V183" s="871"/>
    </row>
    <row r="184" spans="1:23" ht="12" customHeight="1" thickBot="1">
      <c r="A184" s="191"/>
      <c r="B184" s="872" t="s">
        <v>330</v>
      </c>
      <c r="C184" s="873">
        <v>230</v>
      </c>
      <c r="D184" s="221"/>
      <c r="E184" s="356"/>
      <c r="F184" s="65"/>
      <c r="G184" s="65"/>
      <c r="I184" s="157"/>
      <c r="M184" s="191"/>
      <c r="N184" s="874"/>
      <c r="O184" s="869"/>
      <c r="P184" s="171"/>
      <c r="R184" s="875">
        <f aca="true" t="shared" si="119" ref="R184:W184">$O183*R182/1000</f>
        <v>112</v>
      </c>
      <c r="S184" s="875">
        <f t="shared" si="119"/>
        <v>140</v>
      </c>
      <c r="T184" s="875">
        <f t="shared" si="119"/>
        <v>168</v>
      </c>
      <c r="U184" s="875">
        <f t="shared" si="119"/>
        <v>196</v>
      </c>
      <c r="V184" s="875">
        <f t="shared" si="119"/>
        <v>224</v>
      </c>
      <c r="W184" s="875">
        <f t="shared" si="119"/>
        <v>189</v>
      </c>
    </row>
    <row r="185" spans="1:21" ht="12" customHeight="1" thickBot="1">
      <c r="A185" s="191"/>
      <c r="B185" s="876" t="s">
        <v>300</v>
      </c>
      <c r="C185" s="877"/>
      <c r="D185" s="221" t="s">
        <v>301</v>
      </c>
      <c r="E185" s="878"/>
      <c r="F185" s="878">
        <f aca="true" t="shared" si="120" ref="F185:K185">$C184*F182*$G180/1000</f>
        <v>254.15</v>
      </c>
      <c r="G185" s="878">
        <f t="shared" si="120"/>
        <v>293.25</v>
      </c>
      <c r="H185" s="878">
        <f t="shared" si="120"/>
        <v>342.125</v>
      </c>
      <c r="I185" s="878">
        <f t="shared" si="120"/>
        <v>391</v>
      </c>
      <c r="J185" s="878">
        <f t="shared" si="120"/>
        <v>449.65</v>
      </c>
      <c r="K185" s="878">
        <f t="shared" si="120"/>
        <v>351.9</v>
      </c>
      <c r="M185" s="191"/>
      <c r="N185" s="874" t="s">
        <v>908</v>
      </c>
      <c r="O185" s="220"/>
      <c r="P185" s="221"/>
      <c r="Q185" s="218"/>
      <c r="R185" s="218"/>
      <c r="S185" s="218"/>
      <c r="T185" s="218"/>
      <c r="U185" s="218"/>
    </row>
    <row r="186" spans="1:21" ht="12" customHeight="1" thickBot="1">
      <c r="A186" s="191"/>
      <c r="B186" s="879" t="s">
        <v>302</v>
      </c>
      <c r="C186" s="220"/>
      <c r="D186" s="221"/>
      <c r="E186" s="220"/>
      <c r="F186" s="220"/>
      <c r="G186" s="220"/>
      <c r="H186" s="220"/>
      <c r="I186" s="220"/>
      <c r="J186" s="220"/>
      <c r="K186" s="220"/>
      <c r="M186" s="191"/>
      <c r="N186" s="880" t="s">
        <v>909</v>
      </c>
      <c r="O186" s="869">
        <v>14</v>
      </c>
      <c r="P186" s="221"/>
      <c r="Q186" s="881"/>
      <c r="R186" s="881"/>
      <c r="S186" s="881"/>
      <c r="T186" s="881"/>
      <c r="U186" s="881"/>
    </row>
    <row r="187" spans="1:23" ht="12" customHeight="1" thickBot="1">
      <c r="A187" s="191"/>
      <c r="B187" s="882" t="s">
        <v>909</v>
      </c>
      <c r="C187" s="883">
        <v>18</v>
      </c>
      <c r="D187" s="221"/>
      <c r="E187" s="884"/>
      <c r="F187" s="884"/>
      <c r="G187" s="884"/>
      <c r="H187" s="884"/>
      <c r="I187" s="884"/>
      <c r="J187" s="884"/>
      <c r="K187" s="884"/>
      <c r="M187" s="161" t="s">
        <v>512</v>
      </c>
      <c r="N187" s="885"/>
      <c r="O187" s="886" t="s">
        <v>974</v>
      </c>
      <c r="P187" s="219" t="s">
        <v>910</v>
      </c>
      <c r="Q187" s="727" t="s">
        <v>911</v>
      </c>
      <c r="R187" s="1135" t="s">
        <v>912</v>
      </c>
      <c r="S187" s="1136"/>
      <c r="T187" s="1136"/>
      <c r="U187" s="1136"/>
      <c r="V187" s="1136"/>
      <c r="W187" s="1137"/>
    </row>
    <row r="188" spans="1:23" ht="12" customHeight="1" thickBot="1">
      <c r="A188" s="191"/>
      <c r="B188" s="887"/>
      <c r="C188" s="888"/>
      <c r="D188" s="221"/>
      <c r="E188" s="884"/>
      <c r="F188" s="884"/>
      <c r="G188" s="884"/>
      <c r="H188" s="884"/>
      <c r="I188" s="884"/>
      <c r="J188" s="884"/>
      <c r="K188" s="884"/>
      <c r="M188" s="225">
        <v>7</v>
      </c>
      <c r="N188" s="234" t="str">
        <f aca="true" t="shared" si="121" ref="N188:N194">IF($M188&lt;&gt;0,VLOOKUP($M188,equi,2),"")</f>
        <v>Cincel  ( 1º Pasada )</v>
      </c>
      <c r="O188" s="889">
        <v>1</v>
      </c>
      <c r="P188" s="235">
        <f aca="true" t="shared" si="122" ref="P188:P193">IF($M188&lt;&gt;0,VLOOKUP($M188,equi,3),"")</f>
        <v>0.95</v>
      </c>
      <c r="Q188" s="869">
        <f aca="true" t="shared" si="123" ref="Q188:Q193">$O$186*P188</f>
        <v>13.299999999999999</v>
      </c>
      <c r="R188" s="890">
        <f aca="true" t="shared" si="124" ref="R188:W193">$Q188*$O188</f>
        <v>13.299999999999999</v>
      </c>
      <c r="S188" s="890">
        <f t="shared" si="124"/>
        <v>13.299999999999999</v>
      </c>
      <c r="T188" s="890">
        <f t="shared" si="124"/>
        <v>13.299999999999999</v>
      </c>
      <c r="U188" s="890">
        <f t="shared" si="124"/>
        <v>13.299999999999999</v>
      </c>
      <c r="V188" s="890">
        <f t="shared" si="124"/>
        <v>13.299999999999999</v>
      </c>
      <c r="W188" s="890">
        <f t="shared" si="124"/>
        <v>13.299999999999999</v>
      </c>
    </row>
    <row r="189" spans="1:23" ht="12" customHeight="1" thickBot="1">
      <c r="A189" s="155" t="s">
        <v>512</v>
      </c>
      <c r="B189" s="887"/>
      <c r="C189" s="886" t="s">
        <v>974</v>
      </c>
      <c r="D189" s="219" t="s">
        <v>910</v>
      </c>
      <c r="E189" s="727" t="s">
        <v>911</v>
      </c>
      <c r="F189" s="1135" t="s">
        <v>912</v>
      </c>
      <c r="G189" s="1136"/>
      <c r="H189" s="1136"/>
      <c r="I189" s="1136"/>
      <c r="J189" s="1136"/>
      <c r="K189" s="1137"/>
      <c r="M189" s="225">
        <v>5</v>
      </c>
      <c r="N189" s="234" t="str">
        <f t="shared" si="121"/>
        <v>Disco Doble Acción</v>
      </c>
      <c r="O189" s="889">
        <v>2</v>
      </c>
      <c r="P189" s="235">
        <f t="shared" si="122"/>
        <v>0.5</v>
      </c>
      <c r="Q189" s="869">
        <f t="shared" si="123"/>
        <v>7</v>
      </c>
      <c r="R189" s="869">
        <f t="shared" si="124"/>
        <v>14</v>
      </c>
      <c r="S189" s="869">
        <f t="shared" si="124"/>
        <v>14</v>
      </c>
      <c r="T189" s="869">
        <f t="shared" si="124"/>
        <v>14</v>
      </c>
      <c r="U189" s="869">
        <f t="shared" si="124"/>
        <v>14</v>
      </c>
      <c r="V189" s="869">
        <f t="shared" si="124"/>
        <v>14</v>
      </c>
      <c r="W189" s="869">
        <f t="shared" si="124"/>
        <v>14</v>
      </c>
    </row>
    <row r="190" spans="1:23" ht="12" customHeight="1">
      <c r="A190" s="225">
        <v>8</v>
      </c>
      <c r="B190" s="784" t="str">
        <f aca="true" t="shared" si="125" ref="B190:B200">IF($A190&lt;&gt;0,VLOOKUP($A190,equi,2),"")</f>
        <v>Cincel  ( 2º  Pasada )</v>
      </c>
      <c r="C190" s="891">
        <v>1</v>
      </c>
      <c r="D190" s="235">
        <f aca="true" t="shared" si="126" ref="D190:D200">IF($A190&lt;&gt;0,VLOOKUP($A190,equi,3),"")</f>
        <v>0.8</v>
      </c>
      <c r="E190" s="892">
        <f>D190*$C$187</f>
        <v>14.4</v>
      </c>
      <c r="F190" s="893">
        <f aca="true" t="shared" si="127" ref="F190:K200">$E190*$C190</f>
        <v>14.4</v>
      </c>
      <c r="G190" s="894">
        <f t="shared" si="127"/>
        <v>14.4</v>
      </c>
      <c r="H190" s="893">
        <f t="shared" si="127"/>
        <v>14.4</v>
      </c>
      <c r="I190" s="893">
        <f t="shared" si="127"/>
        <v>14.4</v>
      </c>
      <c r="J190" s="893">
        <f t="shared" si="127"/>
        <v>14.4</v>
      </c>
      <c r="K190" s="893">
        <f t="shared" si="127"/>
        <v>14.4</v>
      </c>
      <c r="M190" s="225">
        <v>11</v>
      </c>
      <c r="N190" s="234" t="str">
        <f t="shared" si="121"/>
        <v>Cultivador de Campo</v>
      </c>
      <c r="O190" s="889">
        <v>1</v>
      </c>
      <c r="P190" s="235">
        <f t="shared" si="122"/>
        <v>0.45</v>
      </c>
      <c r="Q190" s="869">
        <f t="shared" si="123"/>
        <v>6.3</v>
      </c>
      <c r="R190" s="869">
        <f t="shared" si="124"/>
        <v>6.3</v>
      </c>
      <c r="S190" s="869">
        <f t="shared" si="124"/>
        <v>6.3</v>
      </c>
      <c r="T190" s="869">
        <f t="shared" si="124"/>
        <v>6.3</v>
      </c>
      <c r="U190" s="869">
        <f t="shared" si="124"/>
        <v>6.3</v>
      </c>
      <c r="V190" s="869">
        <f t="shared" si="124"/>
        <v>6.3</v>
      </c>
      <c r="W190" s="869">
        <f t="shared" si="124"/>
        <v>6.3</v>
      </c>
    </row>
    <row r="191" spans="1:23" ht="12" customHeight="1">
      <c r="A191" s="225">
        <v>6</v>
      </c>
      <c r="B191" s="784" t="str">
        <f t="shared" si="125"/>
        <v>Disco Doble Acción más Rastra de Dientes</v>
      </c>
      <c r="C191" s="891">
        <v>2.2</v>
      </c>
      <c r="D191" s="235">
        <f t="shared" si="126"/>
        <v>0.65</v>
      </c>
      <c r="E191" s="892">
        <f aca="true" t="shared" si="128" ref="E191:E199">D191*$C$187</f>
        <v>11.700000000000001</v>
      </c>
      <c r="F191" s="892">
        <f t="shared" si="127"/>
        <v>25.740000000000006</v>
      </c>
      <c r="G191" s="895">
        <f t="shared" si="127"/>
        <v>25.740000000000006</v>
      </c>
      <c r="H191" s="892">
        <f t="shared" si="127"/>
        <v>25.740000000000006</v>
      </c>
      <c r="I191" s="892">
        <f t="shared" si="127"/>
        <v>25.740000000000006</v>
      </c>
      <c r="J191" s="892">
        <f t="shared" si="127"/>
        <v>25.740000000000006</v>
      </c>
      <c r="K191" s="892">
        <f t="shared" si="127"/>
        <v>25.740000000000006</v>
      </c>
      <c r="M191" s="225">
        <v>13</v>
      </c>
      <c r="N191" s="234" t="str">
        <f t="shared" si="121"/>
        <v>Rastra de Dientes</v>
      </c>
      <c r="O191" s="889">
        <v>1</v>
      </c>
      <c r="P191" s="235">
        <f t="shared" si="122"/>
        <v>0.25</v>
      </c>
      <c r="Q191" s="869">
        <f t="shared" si="123"/>
        <v>3.5</v>
      </c>
      <c r="R191" s="869">
        <f t="shared" si="124"/>
        <v>3.5</v>
      </c>
      <c r="S191" s="869">
        <f t="shared" si="124"/>
        <v>3.5</v>
      </c>
      <c r="T191" s="869">
        <f t="shared" si="124"/>
        <v>3.5</v>
      </c>
      <c r="U191" s="869">
        <f t="shared" si="124"/>
        <v>3.5</v>
      </c>
      <c r="V191" s="869">
        <f t="shared" si="124"/>
        <v>3.5</v>
      </c>
      <c r="W191" s="869">
        <f t="shared" si="124"/>
        <v>3.5</v>
      </c>
    </row>
    <row r="192" spans="1:23" ht="12" customHeight="1">
      <c r="A192" s="225">
        <v>11</v>
      </c>
      <c r="B192" s="784" t="str">
        <f t="shared" si="125"/>
        <v>Cultivador de Campo</v>
      </c>
      <c r="C192" s="891">
        <v>1</v>
      </c>
      <c r="D192" s="235">
        <f t="shared" si="126"/>
        <v>0.45</v>
      </c>
      <c r="E192" s="892">
        <f t="shared" si="128"/>
        <v>8.1</v>
      </c>
      <c r="F192" s="892">
        <f t="shared" si="127"/>
        <v>8.1</v>
      </c>
      <c r="G192" s="895">
        <f t="shared" si="127"/>
        <v>8.1</v>
      </c>
      <c r="H192" s="892">
        <f t="shared" si="127"/>
        <v>8.1</v>
      </c>
      <c r="I192" s="892">
        <f t="shared" si="127"/>
        <v>8.1</v>
      </c>
      <c r="J192" s="892">
        <f t="shared" si="127"/>
        <v>8.1</v>
      </c>
      <c r="K192" s="892">
        <f t="shared" si="127"/>
        <v>8.1</v>
      </c>
      <c r="M192" s="896">
        <v>16</v>
      </c>
      <c r="N192" s="234" t="str">
        <f t="shared" si="121"/>
        <v>Siembra Gruesa Convencional</v>
      </c>
      <c r="O192" s="889">
        <v>1</v>
      </c>
      <c r="P192" s="235">
        <f t="shared" si="122"/>
        <v>0.45</v>
      </c>
      <c r="Q192" s="869">
        <f t="shared" si="123"/>
        <v>6.3</v>
      </c>
      <c r="R192" s="869">
        <f t="shared" si="124"/>
        <v>6.3</v>
      </c>
      <c r="S192" s="869">
        <f t="shared" si="124"/>
        <v>6.3</v>
      </c>
      <c r="T192" s="869">
        <f t="shared" si="124"/>
        <v>6.3</v>
      </c>
      <c r="U192" s="869">
        <f t="shared" si="124"/>
        <v>6.3</v>
      </c>
      <c r="V192" s="869">
        <f t="shared" si="124"/>
        <v>6.3</v>
      </c>
      <c r="W192" s="869">
        <f t="shared" si="124"/>
        <v>6.3</v>
      </c>
    </row>
    <row r="193" spans="1:23" ht="12" customHeight="1">
      <c r="A193" s="225">
        <v>13</v>
      </c>
      <c r="B193" s="784" t="str">
        <f t="shared" si="125"/>
        <v>Rastra de Dientes</v>
      </c>
      <c r="C193" s="891">
        <v>1</v>
      </c>
      <c r="D193" s="235">
        <f t="shared" si="126"/>
        <v>0.25</v>
      </c>
      <c r="E193" s="892">
        <f t="shared" si="128"/>
        <v>4.5</v>
      </c>
      <c r="F193" s="892">
        <f t="shared" si="127"/>
        <v>4.5</v>
      </c>
      <c r="G193" s="895">
        <f t="shared" si="127"/>
        <v>4.5</v>
      </c>
      <c r="H193" s="892">
        <f t="shared" si="127"/>
        <v>4.5</v>
      </c>
      <c r="I193" s="892">
        <f t="shared" si="127"/>
        <v>4.5</v>
      </c>
      <c r="J193" s="892">
        <f t="shared" si="127"/>
        <v>4.5</v>
      </c>
      <c r="K193" s="892">
        <f t="shared" si="127"/>
        <v>4.5</v>
      </c>
      <c r="M193" s="896">
        <v>20</v>
      </c>
      <c r="N193" s="234" t="str">
        <f t="shared" si="121"/>
        <v>Escardillo</v>
      </c>
      <c r="O193" s="889">
        <v>2</v>
      </c>
      <c r="P193" s="235">
        <f t="shared" si="122"/>
        <v>0.4</v>
      </c>
      <c r="Q193" s="869">
        <f t="shared" si="123"/>
        <v>5.6000000000000005</v>
      </c>
      <c r="R193" s="869">
        <f t="shared" si="124"/>
        <v>11.200000000000001</v>
      </c>
      <c r="S193" s="869">
        <f t="shared" si="124"/>
        <v>11.200000000000001</v>
      </c>
      <c r="T193" s="869">
        <f t="shared" si="124"/>
        <v>11.200000000000001</v>
      </c>
      <c r="U193" s="869">
        <f t="shared" si="124"/>
        <v>11.200000000000001</v>
      </c>
      <c r="V193" s="869">
        <f t="shared" si="124"/>
        <v>11.200000000000001</v>
      </c>
      <c r="W193" s="869">
        <f t="shared" si="124"/>
        <v>11.200000000000001</v>
      </c>
    </row>
    <row r="194" spans="1:21" ht="12" customHeight="1">
      <c r="A194" s="225">
        <v>16</v>
      </c>
      <c r="B194" s="784" t="str">
        <f t="shared" si="125"/>
        <v>Siembra Gruesa Convencional</v>
      </c>
      <c r="C194" s="891">
        <v>0.6</v>
      </c>
      <c r="D194" s="235">
        <f t="shared" si="126"/>
        <v>0.45</v>
      </c>
      <c r="E194" s="892">
        <f t="shared" si="128"/>
        <v>8.1</v>
      </c>
      <c r="F194" s="892">
        <f t="shared" si="127"/>
        <v>4.859999999999999</v>
      </c>
      <c r="G194" s="895">
        <f t="shared" si="127"/>
        <v>4.859999999999999</v>
      </c>
      <c r="H194" s="892">
        <f t="shared" si="127"/>
        <v>4.859999999999999</v>
      </c>
      <c r="I194" s="892">
        <f t="shared" si="127"/>
        <v>4.859999999999999</v>
      </c>
      <c r="J194" s="892">
        <f t="shared" si="127"/>
        <v>4.859999999999999</v>
      </c>
      <c r="K194" s="892">
        <f t="shared" si="127"/>
        <v>4.859999999999999</v>
      </c>
      <c r="M194" s="896">
        <v>23</v>
      </c>
      <c r="N194" s="234" t="str">
        <f t="shared" si="121"/>
        <v>Pulverización Terrestre p/Insecticidas</v>
      </c>
      <c r="O194" s="869"/>
      <c r="P194" s="897"/>
      <c r="Q194" s="898"/>
      <c r="R194" s="898"/>
      <c r="S194" s="898"/>
      <c r="T194" s="898"/>
      <c r="U194" s="898"/>
    </row>
    <row r="195" spans="1:23" ht="12" customHeight="1">
      <c r="A195" s="225">
        <v>20</v>
      </c>
      <c r="B195" s="784" t="str">
        <f t="shared" si="125"/>
        <v>Escardillo</v>
      </c>
      <c r="C195" s="891">
        <v>0.5</v>
      </c>
      <c r="D195" s="235">
        <f t="shared" si="126"/>
        <v>0.4</v>
      </c>
      <c r="E195" s="892">
        <f t="shared" si="128"/>
        <v>7.2</v>
      </c>
      <c r="F195" s="892">
        <f t="shared" si="127"/>
        <v>3.6</v>
      </c>
      <c r="G195" s="895">
        <f t="shared" si="127"/>
        <v>3.6</v>
      </c>
      <c r="H195" s="892">
        <f t="shared" si="127"/>
        <v>3.6</v>
      </c>
      <c r="I195" s="892">
        <f t="shared" si="127"/>
        <v>3.6</v>
      </c>
      <c r="J195" s="892">
        <f t="shared" si="127"/>
        <v>3.6</v>
      </c>
      <c r="K195" s="892">
        <f t="shared" si="127"/>
        <v>3.6</v>
      </c>
      <c r="M195" s="896">
        <v>23</v>
      </c>
      <c r="N195" s="162" t="s">
        <v>375</v>
      </c>
      <c r="O195" s="899">
        <v>0.5</v>
      </c>
      <c r="P195" s="235">
        <f>IF($M195&lt;&gt;0,VLOOKUP($M195,equi,3),"")</f>
        <v>0.3</v>
      </c>
      <c r="Q195" s="869">
        <f>$O$186*P195</f>
        <v>4.2</v>
      </c>
      <c r="R195" s="869">
        <f aca="true" t="shared" si="129" ref="R195:W195">$Q195*$O195</f>
        <v>2.1</v>
      </c>
      <c r="S195" s="869">
        <f t="shared" si="129"/>
        <v>2.1</v>
      </c>
      <c r="T195" s="869">
        <f t="shared" si="129"/>
        <v>2.1</v>
      </c>
      <c r="U195" s="869">
        <f t="shared" si="129"/>
        <v>2.1</v>
      </c>
      <c r="V195" s="869">
        <f t="shared" si="129"/>
        <v>2.1</v>
      </c>
      <c r="W195" s="869">
        <f t="shared" si="129"/>
        <v>2.1</v>
      </c>
    </row>
    <row r="196" spans="1:21" ht="12" customHeight="1">
      <c r="A196" s="225">
        <v>22</v>
      </c>
      <c r="B196" s="784" t="str">
        <f t="shared" si="125"/>
        <v>Pulverización Terrestre p/Herbicidas y Defoliantes</v>
      </c>
      <c r="C196" s="892">
        <v>4.5</v>
      </c>
      <c r="D196" s="235">
        <f t="shared" si="126"/>
        <v>0.25</v>
      </c>
      <c r="E196" s="892">
        <f t="shared" si="128"/>
        <v>4.5</v>
      </c>
      <c r="F196" s="892">
        <f t="shared" si="127"/>
        <v>20.25</v>
      </c>
      <c r="G196" s="895">
        <f t="shared" si="127"/>
        <v>20.25</v>
      </c>
      <c r="H196" s="892">
        <f t="shared" si="127"/>
        <v>20.25</v>
      </c>
      <c r="I196" s="892">
        <f t="shared" si="127"/>
        <v>20.25</v>
      </c>
      <c r="J196" s="892">
        <f t="shared" si="127"/>
        <v>20.25</v>
      </c>
      <c r="K196" s="892">
        <f t="shared" si="127"/>
        <v>20.25</v>
      </c>
      <c r="M196" s="896">
        <v>29</v>
      </c>
      <c r="N196" s="234" t="str">
        <f>IF($M196&lt;&gt;0,VLOOKUP($M196,equi,2),"")</f>
        <v>Pulverizacion aérea</v>
      </c>
      <c r="O196" s="356"/>
      <c r="P196" s="33"/>
      <c r="Q196" s="356"/>
      <c r="R196" s="356"/>
      <c r="S196" s="356"/>
      <c r="T196" s="356"/>
      <c r="U196" s="356"/>
    </row>
    <row r="197" spans="1:23" ht="12" customHeight="1">
      <c r="A197" s="225">
        <v>23</v>
      </c>
      <c r="B197" s="784" t="str">
        <f t="shared" si="125"/>
        <v>Pulverización Terrestre p/Insecticidas</v>
      </c>
      <c r="C197" s="892">
        <v>4</v>
      </c>
      <c r="D197" s="235">
        <f t="shared" si="126"/>
        <v>0.3</v>
      </c>
      <c r="E197" s="892">
        <f t="shared" si="128"/>
        <v>5.3999999999999995</v>
      </c>
      <c r="F197" s="892">
        <f t="shared" si="127"/>
        <v>21.599999999999998</v>
      </c>
      <c r="G197" s="895">
        <f t="shared" si="127"/>
        <v>21.599999999999998</v>
      </c>
      <c r="H197" s="892">
        <f t="shared" si="127"/>
        <v>21.599999999999998</v>
      </c>
      <c r="I197" s="892">
        <f t="shared" si="127"/>
        <v>21.599999999999998</v>
      </c>
      <c r="J197" s="892">
        <f t="shared" si="127"/>
        <v>21.599999999999998</v>
      </c>
      <c r="K197" s="892">
        <f t="shared" si="127"/>
        <v>21.599999999999998</v>
      </c>
      <c r="M197" s="896">
        <v>29</v>
      </c>
      <c r="N197" s="162" t="s">
        <v>376</v>
      </c>
      <c r="O197" s="900">
        <v>0.5</v>
      </c>
      <c r="P197" s="235">
        <f>IF($M197&lt;&gt;0,VLOOKUP($M197,equi,3),"")</f>
        <v>0.6</v>
      </c>
      <c r="Q197" s="869">
        <f>$O$186*P197</f>
        <v>8.4</v>
      </c>
      <c r="R197" s="869">
        <f aca="true" t="shared" si="130" ref="R197:W198">$Q197*$O197</f>
        <v>4.2</v>
      </c>
      <c r="S197" s="869">
        <f t="shared" si="130"/>
        <v>4.2</v>
      </c>
      <c r="T197" s="869">
        <f t="shared" si="130"/>
        <v>4.2</v>
      </c>
      <c r="U197" s="869">
        <f t="shared" si="130"/>
        <v>4.2</v>
      </c>
      <c r="V197" s="869">
        <f t="shared" si="130"/>
        <v>4.2</v>
      </c>
      <c r="W197" s="869">
        <f t="shared" si="130"/>
        <v>4.2</v>
      </c>
    </row>
    <row r="198" spans="1:23" ht="12" customHeight="1">
      <c r="A198" s="225">
        <v>29</v>
      </c>
      <c r="B198" s="784" t="str">
        <f t="shared" si="125"/>
        <v>Pulverizacion aérea</v>
      </c>
      <c r="C198" s="892">
        <v>7</v>
      </c>
      <c r="D198" s="235">
        <f t="shared" si="126"/>
        <v>0.6</v>
      </c>
      <c r="E198" s="892">
        <f t="shared" si="128"/>
        <v>10.799999999999999</v>
      </c>
      <c r="F198" s="892">
        <f t="shared" si="127"/>
        <v>75.6</v>
      </c>
      <c r="G198" s="895">
        <f t="shared" si="127"/>
        <v>75.6</v>
      </c>
      <c r="H198" s="892">
        <f t="shared" si="127"/>
        <v>75.6</v>
      </c>
      <c r="I198" s="892">
        <f t="shared" si="127"/>
        <v>75.6</v>
      </c>
      <c r="J198" s="892">
        <f t="shared" si="127"/>
        <v>75.6</v>
      </c>
      <c r="K198" s="892">
        <f t="shared" si="127"/>
        <v>75.6</v>
      </c>
      <c r="M198" s="896">
        <v>22</v>
      </c>
      <c r="N198" s="234" t="str">
        <f>IF($M198&lt;&gt;0,VLOOKUP($M198,equi,2),"")</f>
        <v>Pulverización Terrestre p/Herbicidas y Defoliantes</v>
      </c>
      <c r="O198" s="899">
        <v>0.5</v>
      </c>
      <c r="P198" s="235">
        <f>IF($M198&lt;&gt;0,VLOOKUP($M198,equi,3),"")</f>
        <v>0.25</v>
      </c>
      <c r="Q198" s="869">
        <f>$O$186*P198</f>
        <v>3.5</v>
      </c>
      <c r="R198" s="869">
        <f t="shared" si="130"/>
        <v>1.75</v>
      </c>
      <c r="S198" s="869">
        <f t="shared" si="130"/>
        <v>1.75</v>
      </c>
      <c r="T198" s="869">
        <f t="shared" si="130"/>
        <v>1.75</v>
      </c>
      <c r="U198" s="869">
        <f t="shared" si="130"/>
        <v>1.75</v>
      </c>
      <c r="V198" s="869">
        <f t="shared" si="130"/>
        <v>1.75</v>
      </c>
      <c r="W198" s="869">
        <f t="shared" si="130"/>
        <v>1.75</v>
      </c>
    </row>
    <row r="199" spans="1:23" ht="12" customHeight="1" thickBot="1">
      <c r="A199" s="225">
        <v>26</v>
      </c>
      <c r="B199" s="784" t="str">
        <f t="shared" si="125"/>
        <v>Aplicacion Fertilizante al Voleo </v>
      </c>
      <c r="C199" s="892">
        <v>0.2</v>
      </c>
      <c r="D199" s="235">
        <f t="shared" si="126"/>
        <v>0.25</v>
      </c>
      <c r="E199" s="892">
        <f t="shared" si="128"/>
        <v>4.5</v>
      </c>
      <c r="F199" s="892">
        <f t="shared" si="127"/>
        <v>0.9</v>
      </c>
      <c r="G199" s="895">
        <f t="shared" si="127"/>
        <v>0.9</v>
      </c>
      <c r="H199" s="892">
        <f t="shared" si="127"/>
        <v>0.9</v>
      </c>
      <c r="I199" s="892">
        <f t="shared" si="127"/>
        <v>0.9</v>
      </c>
      <c r="J199" s="892">
        <f t="shared" si="127"/>
        <v>0.9</v>
      </c>
      <c r="K199" s="892">
        <f t="shared" si="127"/>
        <v>0.9</v>
      </c>
      <c r="M199" s="901"/>
      <c r="N199" s="791" t="s">
        <v>913</v>
      </c>
      <c r="O199" s="869"/>
      <c r="P199" s="242"/>
      <c r="Q199" s="902">
        <f aca="true" t="shared" si="131" ref="Q199:W199">SUM(Q188:Q198)</f>
        <v>58.1</v>
      </c>
      <c r="R199" s="902">
        <f t="shared" si="131"/>
        <v>62.65</v>
      </c>
      <c r="S199" s="902">
        <f t="shared" si="131"/>
        <v>62.65</v>
      </c>
      <c r="T199" s="902">
        <f t="shared" si="131"/>
        <v>62.65</v>
      </c>
      <c r="U199" s="902">
        <f t="shared" si="131"/>
        <v>62.65</v>
      </c>
      <c r="V199" s="902">
        <f t="shared" si="131"/>
        <v>62.65</v>
      </c>
      <c r="W199" s="902">
        <f t="shared" si="131"/>
        <v>62.65</v>
      </c>
    </row>
    <row r="200" spans="1:23" ht="12" customHeight="1" thickBot="1">
      <c r="A200" s="225">
        <v>24</v>
      </c>
      <c r="B200" s="784" t="str">
        <f t="shared" si="125"/>
        <v>Desmalezadora</v>
      </c>
      <c r="C200" s="891">
        <v>0.6</v>
      </c>
      <c r="D200" s="235">
        <f t="shared" si="126"/>
        <v>0.4</v>
      </c>
      <c r="E200" s="892">
        <f>D200*$C$187</f>
        <v>7.2</v>
      </c>
      <c r="F200" s="892">
        <f t="shared" si="127"/>
        <v>4.32</v>
      </c>
      <c r="G200" s="895">
        <f t="shared" si="127"/>
        <v>4.32</v>
      </c>
      <c r="H200" s="892">
        <f t="shared" si="127"/>
        <v>4.32</v>
      </c>
      <c r="I200" s="892">
        <f t="shared" si="127"/>
        <v>4.32</v>
      </c>
      <c r="J200" s="892">
        <f t="shared" si="127"/>
        <v>4.32</v>
      </c>
      <c r="K200" s="892">
        <f t="shared" si="127"/>
        <v>4.32</v>
      </c>
      <c r="M200" s="901"/>
      <c r="N200" s="162"/>
      <c r="O200" s="166" t="s">
        <v>817</v>
      </c>
      <c r="P200" s="219" t="s">
        <v>915</v>
      </c>
      <c r="Q200" s="735" t="s">
        <v>916</v>
      </c>
      <c r="R200" s="1135" t="s">
        <v>912</v>
      </c>
      <c r="S200" s="1136"/>
      <c r="T200" s="1136"/>
      <c r="U200" s="1136"/>
      <c r="V200" s="1136"/>
      <c r="W200" s="1137"/>
    </row>
    <row r="201" spans="1:23" ht="12" customHeight="1">
      <c r="A201" s="191"/>
      <c r="B201" s="234"/>
      <c r="C201" s="903"/>
      <c r="D201" s="904"/>
      <c r="E201" s="892"/>
      <c r="F201" s="892"/>
      <c r="G201" s="892"/>
      <c r="H201" s="892"/>
      <c r="I201" s="905"/>
      <c r="J201" s="892"/>
      <c r="K201" s="892"/>
      <c r="M201" s="906"/>
      <c r="N201" s="162" t="s">
        <v>294</v>
      </c>
      <c r="O201" s="907">
        <v>3.5</v>
      </c>
      <c r="P201" s="164">
        <v>8</v>
      </c>
      <c r="Q201" s="869">
        <f aca="true" t="shared" si="132" ref="Q201:W204">$P201*$O201</f>
        <v>28</v>
      </c>
      <c r="R201" s="890">
        <f t="shared" si="132"/>
        <v>28</v>
      </c>
      <c r="S201" s="890">
        <f t="shared" si="132"/>
        <v>28</v>
      </c>
      <c r="T201" s="890">
        <f t="shared" si="132"/>
        <v>28</v>
      </c>
      <c r="U201" s="890">
        <f t="shared" si="132"/>
        <v>28</v>
      </c>
      <c r="V201" s="890">
        <f t="shared" si="132"/>
        <v>28</v>
      </c>
      <c r="W201" s="890">
        <f t="shared" si="132"/>
        <v>28</v>
      </c>
    </row>
    <row r="202" spans="1:23" ht="12" customHeight="1">
      <c r="A202" s="191"/>
      <c r="B202" s="879" t="s">
        <v>303</v>
      </c>
      <c r="C202" s="877"/>
      <c r="D202" s="221"/>
      <c r="E202" s="908">
        <f>SUM(E190:E200)</f>
        <v>86.4</v>
      </c>
      <c r="F202" s="908">
        <f aca="true" t="shared" si="133" ref="F202:K202">SUM(F187:F200)</f>
        <v>183.87</v>
      </c>
      <c r="G202" s="909">
        <f t="shared" si="133"/>
        <v>183.87</v>
      </c>
      <c r="H202" s="908">
        <f t="shared" si="133"/>
        <v>183.87</v>
      </c>
      <c r="I202" s="910">
        <f t="shared" si="133"/>
        <v>183.87</v>
      </c>
      <c r="J202" s="908">
        <f t="shared" si="133"/>
        <v>183.87</v>
      </c>
      <c r="K202" s="908">
        <f t="shared" si="133"/>
        <v>183.87</v>
      </c>
      <c r="N202" s="162" t="s">
        <v>820</v>
      </c>
      <c r="O202" s="163">
        <v>1.8</v>
      </c>
      <c r="P202" s="164">
        <v>6.28</v>
      </c>
      <c r="Q202" s="869">
        <f t="shared" si="132"/>
        <v>11.304</v>
      </c>
      <c r="R202" s="869">
        <f t="shared" si="132"/>
        <v>11.304</v>
      </c>
      <c r="S202" s="869">
        <f t="shared" si="132"/>
        <v>11.304</v>
      </c>
      <c r="T202" s="869">
        <f t="shared" si="132"/>
        <v>11.304</v>
      </c>
      <c r="U202" s="869">
        <f t="shared" si="132"/>
        <v>11.304</v>
      </c>
      <c r="V202" s="869">
        <f t="shared" si="132"/>
        <v>11.304</v>
      </c>
      <c r="W202" s="869">
        <f t="shared" si="132"/>
        <v>11.304</v>
      </c>
    </row>
    <row r="203" spans="1:23" ht="12" customHeight="1" thickBot="1">
      <c r="A203" s="191"/>
      <c r="I203" s="157"/>
      <c r="N203" s="162" t="s">
        <v>295</v>
      </c>
      <c r="O203" s="163">
        <v>3</v>
      </c>
      <c r="P203" s="164">
        <v>12</v>
      </c>
      <c r="Q203" s="869">
        <f t="shared" si="132"/>
        <v>36</v>
      </c>
      <c r="R203" s="869">
        <f t="shared" si="132"/>
        <v>36</v>
      </c>
      <c r="S203" s="869">
        <f t="shared" si="132"/>
        <v>36</v>
      </c>
      <c r="T203" s="869">
        <f t="shared" si="132"/>
        <v>36</v>
      </c>
      <c r="U203" s="869">
        <f t="shared" si="132"/>
        <v>36</v>
      </c>
      <c r="V203" s="869">
        <f t="shared" si="132"/>
        <v>36</v>
      </c>
      <c r="W203" s="869">
        <f t="shared" si="132"/>
        <v>36</v>
      </c>
    </row>
    <row r="204" spans="1:23" ht="12" customHeight="1" thickBot="1">
      <c r="A204" s="191"/>
      <c r="C204" s="170" t="s">
        <v>817</v>
      </c>
      <c r="D204" s="245" t="s">
        <v>915</v>
      </c>
      <c r="E204" s="245" t="s">
        <v>916</v>
      </c>
      <c r="F204" s="1152" t="s">
        <v>912</v>
      </c>
      <c r="G204" s="1153"/>
      <c r="H204" s="1153"/>
      <c r="I204" s="1153"/>
      <c r="J204" s="1153"/>
      <c r="K204" s="1154"/>
      <c r="N204" s="162" t="s">
        <v>821</v>
      </c>
      <c r="O204" s="163">
        <v>0.06</v>
      </c>
      <c r="P204" s="164">
        <v>21</v>
      </c>
      <c r="Q204" s="869">
        <f t="shared" si="132"/>
        <v>1.26</v>
      </c>
      <c r="R204" s="869">
        <f t="shared" si="132"/>
        <v>1.26</v>
      </c>
      <c r="S204" s="869">
        <f t="shared" si="132"/>
        <v>1.26</v>
      </c>
      <c r="T204" s="869">
        <f t="shared" si="132"/>
        <v>1.26</v>
      </c>
      <c r="U204" s="869">
        <f t="shared" si="132"/>
        <v>1.26</v>
      </c>
      <c r="V204" s="869">
        <f t="shared" si="132"/>
        <v>1.26</v>
      </c>
      <c r="W204" s="869">
        <f t="shared" si="132"/>
        <v>1.26</v>
      </c>
    </row>
    <row r="205" spans="1:23" ht="12" customHeight="1">
      <c r="A205" s="191"/>
      <c r="B205" s="234" t="s">
        <v>304</v>
      </c>
      <c r="C205" s="911">
        <v>0.4</v>
      </c>
      <c r="D205" s="889">
        <v>35</v>
      </c>
      <c r="E205" s="892">
        <f aca="true" t="shared" si="134" ref="E205:K212">$C205*$D205</f>
        <v>14</v>
      </c>
      <c r="F205" s="912">
        <f t="shared" si="134"/>
        <v>14</v>
      </c>
      <c r="G205" s="913">
        <f t="shared" si="134"/>
        <v>14</v>
      </c>
      <c r="H205" s="912">
        <f t="shared" si="134"/>
        <v>14</v>
      </c>
      <c r="I205" s="914">
        <f t="shared" si="134"/>
        <v>14</v>
      </c>
      <c r="J205" s="912">
        <f t="shared" si="134"/>
        <v>14</v>
      </c>
      <c r="K205" s="912">
        <f t="shared" si="134"/>
        <v>14</v>
      </c>
      <c r="M205" s="191"/>
      <c r="N205" s="791" t="s">
        <v>823</v>
      </c>
      <c r="O205" s="915"/>
      <c r="P205" s="163"/>
      <c r="Q205" s="916">
        <f aca="true" t="shared" si="135" ref="Q205:W205">SUM(Q201:Q204)</f>
        <v>76.56400000000001</v>
      </c>
      <c r="R205" s="916">
        <f t="shared" si="135"/>
        <v>76.56400000000001</v>
      </c>
      <c r="S205" s="916">
        <f t="shared" si="135"/>
        <v>76.56400000000001</v>
      </c>
      <c r="T205" s="916">
        <f t="shared" si="135"/>
        <v>76.56400000000001</v>
      </c>
      <c r="U205" s="916">
        <f t="shared" si="135"/>
        <v>76.56400000000001</v>
      </c>
      <c r="V205" s="916">
        <f t="shared" si="135"/>
        <v>76.56400000000001</v>
      </c>
      <c r="W205" s="916">
        <f t="shared" si="135"/>
        <v>76.56400000000001</v>
      </c>
    </row>
    <row r="206" spans="1:23" ht="12" customHeight="1">
      <c r="A206" s="191"/>
      <c r="B206" s="917" t="s">
        <v>305</v>
      </c>
      <c r="C206" s="911">
        <v>5</v>
      </c>
      <c r="D206" s="889">
        <v>1.8</v>
      </c>
      <c r="E206" s="892">
        <f t="shared" si="134"/>
        <v>9</v>
      </c>
      <c r="F206" s="918">
        <f t="shared" si="134"/>
        <v>9</v>
      </c>
      <c r="G206" s="919">
        <f t="shared" si="134"/>
        <v>9</v>
      </c>
      <c r="H206" s="918">
        <f t="shared" si="134"/>
        <v>9</v>
      </c>
      <c r="I206" s="920">
        <f t="shared" si="134"/>
        <v>9</v>
      </c>
      <c r="J206" s="918">
        <f t="shared" si="134"/>
        <v>9</v>
      </c>
      <c r="K206" s="918">
        <f t="shared" si="134"/>
        <v>9</v>
      </c>
      <c r="M206" s="191"/>
      <c r="N206" s="180"/>
      <c r="O206" s="921"/>
      <c r="P206" s="922"/>
      <c r="Q206" s="921"/>
      <c r="R206" s="921"/>
      <c r="S206" s="921"/>
      <c r="T206" s="921"/>
      <c r="U206" s="921"/>
      <c r="V206" s="356"/>
      <c r="W206" s="356"/>
    </row>
    <row r="207" spans="1:23" ht="12" customHeight="1">
      <c r="A207" s="191"/>
      <c r="B207" s="917" t="s">
        <v>306</v>
      </c>
      <c r="C207" s="911">
        <v>0.44</v>
      </c>
      <c r="D207" s="889">
        <v>80</v>
      </c>
      <c r="E207" s="892">
        <f t="shared" si="134"/>
        <v>35.2</v>
      </c>
      <c r="F207" s="918">
        <f t="shared" si="134"/>
        <v>35.2</v>
      </c>
      <c r="G207" s="919">
        <f t="shared" si="134"/>
        <v>35.2</v>
      </c>
      <c r="H207" s="918">
        <f t="shared" si="134"/>
        <v>35.2</v>
      </c>
      <c r="I207" s="920">
        <f t="shared" si="134"/>
        <v>35.2</v>
      </c>
      <c r="J207" s="918">
        <f t="shared" si="134"/>
        <v>35.2</v>
      </c>
      <c r="K207" s="918">
        <f t="shared" si="134"/>
        <v>35.2</v>
      </c>
      <c r="M207" s="191"/>
      <c r="N207" s="791" t="s">
        <v>918</v>
      </c>
      <c r="O207" s="180"/>
      <c r="P207" s="180"/>
      <c r="R207" s="923">
        <f aca="true" t="shared" si="136" ref="R207:W207">R199+R205</f>
        <v>139.214</v>
      </c>
      <c r="S207" s="923">
        <f t="shared" si="136"/>
        <v>139.214</v>
      </c>
      <c r="T207" s="923">
        <f t="shared" si="136"/>
        <v>139.214</v>
      </c>
      <c r="U207" s="923">
        <f t="shared" si="136"/>
        <v>139.214</v>
      </c>
      <c r="V207" s="923">
        <f t="shared" si="136"/>
        <v>139.214</v>
      </c>
      <c r="W207" s="923">
        <f t="shared" si="136"/>
        <v>139.214</v>
      </c>
    </row>
    <row r="208" spans="1:21" ht="12" customHeight="1">
      <c r="A208" s="191"/>
      <c r="B208" s="917" t="s">
        <v>307</v>
      </c>
      <c r="C208" s="911">
        <v>0.38</v>
      </c>
      <c r="D208" s="889">
        <v>70</v>
      </c>
      <c r="E208" s="892">
        <f t="shared" si="134"/>
        <v>26.6</v>
      </c>
      <c r="F208" s="918">
        <f t="shared" si="134"/>
        <v>26.6</v>
      </c>
      <c r="G208" s="919">
        <f t="shared" si="134"/>
        <v>26.6</v>
      </c>
      <c r="H208" s="918">
        <f t="shared" si="134"/>
        <v>26.6</v>
      </c>
      <c r="I208" s="920">
        <f t="shared" si="134"/>
        <v>26.6</v>
      </c>
      <c r="J208" s="918">
        <f t="shared" si="134"/>
        <v>26.6</v>
      </c>
      <c r="K208" s="918">
        <f t="shared" si="134"/>
        <v>26.6</v>
      </c>
      <c r="M208" s="191"/>
      <c r="N208" s="180"/>
      <c r="O208" s="171"/>
      <c r="P208" s="171"/>
      <c r="Q208" s="898"/>
      <c r="R208" s="898"/>
      <c r="S208" s="898"/>
      <c r="T208" s="898"/>
      <c r="U208" s="898"/>
    </row>
    <row r="209" spans="1:21" ht="12" customHeight="1">
      <c r="A209" s="191"/>
      <c r="B209" s="917" t="s">
        <v>308</v>
      </c>
      <c r="C209" s="911">
        <v>8</v>
      </c>
      <c r="D209" s="889">
        <v>0.6</v>
      </c>
      <c r="E209" s="892">
        <f t="shared" si="134"/>
        <v>4.8</v>
      </c>
      <c r="F209" s="918">
        <f t="shared" si="134"/>
        <v>4.8</v>
      </c>
      <c r="G209" s="919">
        <f t="shared" si="134"/>
        <v>4.8</v>
      </c>
      <c r="H209" s="918">
        <f t="shared" si="134"/>
        <v>4.8</v>
      </c>
      <c r="I209" s="920">
        <f t="shared" si="134"/>
        <v>4.8</v>
      </c>
      <c r="J209" s="918">
        <f t="shared" si="134"/>
        <v>4.8</v>
      </c>
      <c r="K209" s="918">
        <f t="shared" si="134"/>
        <v>4.8</v>
      </c>
      <c r="M209" s="191"/>
      <c r="N209" s="791" t="s">
        <v>337</v>
      </c>
      <c r="O209" s="171"/>
      <c r="P209" s="171"/>
      <c r="Q209" s="898"/>
      <c r="R209" s="898"/>
      <c r="S209" s="898"/>
      <c r="T209" s="898"/>
      <c r="U209" s="898"/>
    </row>
    <row r="210" spans="1:23" ht="12" customHeight="1">
      <c r="A210" s="191"/>
      <c r="B210" s="917" t="s">
        <v>309</v>
      </c>
      <c r="C210" s="911">
        <v>0.8</v>
      </c>
      <c r="D210" s="889">
        <v>4.1</v>
      </c>
      <c r="E210" s="892">
        <f t="shared" si="134"/>
        <v>3.28</v>
      </c>
      <c r="F210" s="918">
        <f t="shared" si="134"/>
        <v>3.28</v>
      </c>
      <c r="G210" s="919">
        <f t="shared" si="134"/>
        <v>3.28</v>
      </c>
      <c r="H210" s="918">
        <f t="shared" si="134"/>
        <v>3.28</v>
      </c>
      <c r="I210" s="920">
        <f t="shared" si="134"/>
        <v>3.28</v>
      </c>
      <c r="J210" s="918">
        <f t="shared" si="134"/>
        <v>3.28</v>
      </c>
      <c r="K210" s="918">
        <f t="shared" si="134"/>
        <v>3.28</v>
      </c>
      <c r="M210" s="191"/>
      <c r="N210" s="162" t="s">
        <v>338</v>
      </c>
      <c r="O210" s="924">
        <v>0.1</v>
      </c>
      <c r="P210" s="167">
        <f>O210*O183*T180</f>
        <v>14</v>
      </c>
      <c r="Q210" s="925">
        <f>1*P210</f>
        <v>14</v>
      </c>
      <c r="R210" s="869">
        <f aca="true" t="shared" si="137" ref="R210:W210">$P210*R182/1000</f>
        <v>11.2</v>
      </c>
      <c r="S210" s="869">
        <f t="shared" si="137"/>
        <v>14</v>
      </c>
      <c r="T210" s="869">
        <f t="shared" si="137"/>
        <v>16.8</v>
      </c>
      <c r="U210" s="869">
        <f t="shared" si="137"/>
        <v>19.6</v>
      </c>
      <c r="V210" s="869">
        <f t="shared" si="137"/>
        <v>22.4</v>
      </c>
      <c r="W210" s="869">
        <f t="shared" si="137"/>
        <v>18.9</v>
      </c>
    </row>
    <row r="211" spans="1:23" ht="12" customHeight="1">
      <c r="A211" s="191"/>
      <c r="B211" s="234" t="s">
        <v>310</v>
      </c>
      <c r="C211" s="911">
        <v>0.6</v>
      </c>
      <c r="D211" s="889">
        <v>17</v>
      </c>
      <c r="E211" s="892">
        <f t="shared" si="134"/>
        <v>10.2</v>
      </c>
      <c r="F211" s="918">
        <f t="shared" si="134"/>
        <v>10.2</v>
      </c>
      <c r="G211" s="919">
        <f t="shared" si="134"/>
        <v>10.2</v>
      </c>
      <c r="H211" s="918">
        <f t="shared" si="134"/>
        <v>10.2</v>
      </c>
      <c r="I211" s="920">
        <f t="shared" si="134"/>
        <v>10.2</v>
      </c>
      <c r="J211" s="918">
        <f t="shared" si="134"/>
        <v>10.2</v>
      </c>
      <c r="K211" s="918">
        <f t="shared" si="134"/>
        <v>10.2</v>
      </c>
      <c r="M211" s="191"/>
      <c r="N211" s="162" t="s">
        <v>519</v>
      </c>
      <c r="O211" s="924">
        <v>1</v>
      </c>
      <c r="P211" s="167">
        <v>12</v>
      </c>
      <c r="Q211" s="925">
        <f>1*P211</f>
        <v>12</v>
      </c>
      <c r="R211" s="869">
        <f aca="true" t="shared" si="138" ref="R211:W211">$P211*R182/1000</f>
        <v>9.6</v>
      </c>
      <c r="S211" s="869">
        <f t="shared" si="138"/>
        <v>12</v>
      </c>
      <c r="T211" s="869">
        <f t="shared" si="138"/>
        <v>14.4</v>
      </c>
      <c r="U211" s="869">
        <f t="shared" si="138"/>
        <v>16.8</v>
      </c>
      <c r="V211" s="869">
        <f t="shared" si="138"/>
        <v>19.2</v>
      </c>
      <c r="W211" s="869">
        <f t="shared" si="138"/>
        <v>16.2</v>
      </c>
    </row>
    <row r="212" spans="1:23" ht="12" customHeight="1">
      <c r="A212" s="191"/>
      <c r="B212" s="917" t="s">
        <v>311</v>
      </c>
      <c r="C212" s="911">
        <v>0.5</v>
      </c>
      <c r="D212" s="889">
        <v>2.5</v>
      </c>
      <c r="E212" s="892">
        <f t="shared" si="134"/>
        <v>1.25</v>
      </c>
      <c r="F212" s="918">
        <f t="shared" si="134"/>
        <v>1.25</v>
      </c>
      <c r="G212" s="919">
        <f t="shared" si="134"/>
        <v>1.25</v>
      </c>
      <c r="H212" s="918">
        <f t="shared" si="134"/>
        <v>1.25</v>
      </c>
      <c r="I212" s="920">
        <f t="shared" si="134"/>
        <v>1.25</v>
      </c>
      <c r="J212" s="918">
        <f t="shared" si="134"/>
        <v>1.25</v>
      </c>
      <c r="K212" s="918">
        <f t="shared" si="134"/>
        <v>1.25</v>
      </c>
      <c r="M212" s="191"/>
      <c r="N212" s="174" t="s">
        <v>520</v>
      </c>
      <c r="O212" s="924">
        <v>0.00121</v>
      </c>
      <c r="P212" s="167">
        <f>O212*O183*T180</f>
        <v>0.1694</v>
      </c>
      <c r="Q212" s="925">
        <f>1*P212</f>
        <v>0.1694</v>
      </c>
      <c r="R212" s="869">
        <f aca="true" t="shared" si="139" ref="R212:W212">$P212*R182/1000</f>
        <v>0.13551999999999997</v>
      </c>
      <c r="S212" s="869">
        <f t="shared" si="139"/>
        <v>0.1694</v>
      </c>
      <c r="T212" s="869">
        <f t="shared" si="139"/>
        <v>0.20328</v>
      </c>
      <c r="U212" s="869">
        <f t="shared" si="139"/>
        <v>0.23716</v>
      </c>
      <c r="V212" s="869">
        <f t="shared" si="139"/>
        <v>0.27103999999999995</v>
      </c>
      <c r="W212" s="869">
        <f t="shared" si="139"/>
        <v>0.22869</v>
      </c>
    </row>
    <row r="213" spans="1:23" ht="12" customHeight="1">
      <c r="A213" s="191"/>
      <c r="B213" s="879" t="s">
        <v>312</v>
      </c>
      <c r="C213" s="220"/>
      <c r="D213" s="221"/>
      <c r="E213" s="908">
        <f aca="true" t="shared" si="140" ref="E213:K213">SUM(E205:E212)</f>
        <v>104.33000000000001</v>
      </c>
      <c r="F213" s="908">
        <f t="shared" si="140"/>
        <v>104.33000000000001</v>
      </c>
      <c r="G213" s="909">
        <f t="shared" si="140"/>
        <v>104.33000000000001</v>
      </c>
      <c r="H213" s="908">
        <f t="shared" si="140"/>
        <v>104.33000000000001</v>
      </c>
      <c r="I213" s="910">
        <f t="shared" si="140"/>
        <v>104.33000000000001</v>
      </c>
      <c r="J213" s="908">
        <f t="shared" si="140"/>
        <v>104.33000000000001</v>
      </c>
      <c r="K213" s="908">
        <f t="shared" si="140"/>
        <v>104.33000000000001</v>
      </c>
      <c r="M213" s="191"/>
      <c r="N213" s="791" t="s">
        <v>829</v>
      </c>
      <c r="O213" s="926">
        <f aca="true" t="shared" si="141" ref="O213:W213">SUM(O210:O212)</f>
        <v>1.10121</v>
      </c>
      <c r="P213" s="167">
        <f t="shared" si="141"/>
        <v>26.1694</v>
      </c>
      <c r="Q213" s="167">
        <f t="shared" si="141"/>
        <v>26.1694</v>
      </c>
      <c r="R213" s="923">
        <f t="shared" si="141"/>
        <v>20.935519999999997</v>
      </c>
      <c r="S213" s="923">
        <f t="shared" si="141"/>
        <v>26.1694</v>
      </c>
      <c r="T213" s="923">
        <f t="shared" si="141"/>
        <v>31.403280000000002</v>
      </c>
      <c r="U213" s="923">
        <f t="shared" si="141"/>
        <v>36.63716000000001</v>
      </c>
      <c r="V213" s="923">
        <f t="shared" si="141"/>
        <v>41.871039999999994</v>
      </c>
      <c r="W213" s="923">
        <f t="shared" si="141"/>
        <v>35.328689999999995</v>
      </c>
    </row>
    <row r="214" spans="1:21" ht="12" customHeight="1">
      <c r="A214" s="191"/>
      <c r="B214" s="927"/>
      <c r="C214" s="220"/>
      <c r="D214" s="221"/>
      <c r="E214" s="928"/>
      <c r="F214" s="928"/>
      <c r="G214" s="928"/>
      <c r="H214" s="928"/>
      <c r="I214" s="929"/>
      <c r="J214" s="928"/>
      <c r="K214" s="928"/>
      <c r="M214" s="191"/>
      <c r="N214" s="180"/>
      <c r="O214" s="756"/>
      <c r="P214" s="171"/>
      <c r="Q214" s="898"/>
      <c r="R214" s="898"/>
      <c r="S214" s="898"/>
      <c r="T214" s="898"/>
      <c r="U214" s="898"/>
    </row>
    <row r="215" spans="1:23" ht="12" customHeight="1">
      <c r="A215" s="191"/>
      <c r="B215" s="879" t="s">
        <v>313</v>
      </c>
      <c r="C215" s="220"/>
      <c r="D215" s="221"/>
      <c r="E215" s="908"/>
      <c r="F215" s="908">
        <f aca="true" t="shared" si="142" ref="F215:K215">F202+F213</f>
        <v>288.20000000000005</v>
      </c>
      <c r="G215" s="909">
        <f t="shared" si="142"/>
        <v>288.20000000000005</v>
      </c>
      <c r="H215" s="908">
        <f t="shared" si="142"/>
        <v>288.20000000000005</v>
      </c>
      <c r="I215" s="910">
        <f t="shared" si="142"/>
        <v>288.20000000000005</v>
      </c>
      <c r="J215" s="908">
        <f t="shared" si="142"/>
        <v>288.20000000000005</v>
      </c>
      <c r="K215" s="908">
        <f t="shared" si="142"/>
        <v>288.20000000000005</v>
      </c>
      <c r="M215" s="191"/>
      <c r="N215" s="176" t="s">
        <v>342</v>
      </c>
      <c r="O215" s="256"/>
      <c r="P215" s="256"/>
      <c r="R215" s="869">
        <f aca="true" t="shared" si="143" ref="R215:W215">R213+R207</f>
        <v>160.14952</v>
      </c>
      <c r="S215" s="869">
        <f t="shared" si="143"/>
        <v>165.3834</v>
      </c>
      <c r="T215" s="869">
        <f t="shared" si="143"/>
        <v>170.61728</v>
      </c>
      <c r="U215" s="869">
        <f t="shared" si="143"/>
        <v>175.85116</v>
      </c>
      <c r="V215" s="869">
        <f t="shared" si="143"/>
        <v>181.08504</v>
      </c>
      <c r="W215" s="869">
        <f t="shared" si="143"/>
        <v>174.54269</v>
      </c>
    </row>
    <row r="216" spans="1:23" ht="12" customHeight="1" thickBot="1">
      <c r="A216" s="191"/>
      <c r="B216" s="930"/>
      <c r="C216" s="220"/>
      <c r="D216" s="221"/>
      <c r="E216" s="928"/>
      <c r="F216" s="928"/>
      <c r="G216" s="928"/>
      <c r="H216" s="931"/>
      <c r="I216" s="932"/>
      <c r="J216" s="928"/>
      <c r="K216" s="928"/>
      <c r="M216" s="191"/>
      <c r="N216" s="933" t="s">
        <v>922</v>
      </c>
      <c r="O216" s="256"/>
      <c r="P216" s="256"/>
      <c r="R216" s="923">
        <f aca="true" t="shared" si="144" ref="R216:W216">R184-R215</f>
        <v>-48.149519999999995</v>
      </c>
      <c r="S216" s="923">
        <f t="shared" si="144"/>
        <v>-25.383399999999995</v>
      </c>
      <c r="T216" s="923">
        <f t="shared" si="144"/>
        <v>-2.617279999999994</v>
      </c>
      <c r="U216" s="923">
        <f t="shared" si="144"/>
        <v>20.148840000000007</v>
      </c>
      <c r="V216" s="923">
        <f t="shared" si="144"/>
        <v>42.91496000000001</v>
      </c>
      <c r="W216" s="923">
        <f t="shared" si="144"/>
        <v>14.457310000000007</v>
      </c>
    </row>
    <row r="217" spans="1:19" ht="12" customHeight="1" thickBot="1">
      <c r="A217" s="191"/>
      <c r="B217" s="879" t="s">
        <v>314</v>
      </c>
      <c r="C217" s="220"/>
      <c r="D217" s="221"/>
      <c r="E217" s="934"/>
      <c r="F217" s="1152" t="s">
        <v>912</v>
      </c>
      <c r="G217" s="1153"/>
      <c r="H217" s="1153"/>
      <c r="I217" s="1153"/>
      <c r="J217" s="1153"/>
      <c r="K217" s="1154"/>
      <c r="M217" s="191"/>
      <c r="N217" s="935" t="s">
        <v>923</v>
      </c>
      <c r="O217" s="936">
        <f>R207/(O183-P213)*1000</f>
        <v>1222.9927629301787</v>
      </c>
      <c r="P217" s="937"/>
      <c r="R217" s="65"/>
      <c r="S217" s="65"/>
    </row>
    <row r="218" spans="1:23" ht="12" customHeight="1" thickBot="1">
      <c r="A218" s="191"/>
      <c r="B218" s="917" t="s">
        <v>377</v>
      </c>
      <c r="C218" s="892">
        <v>70</v>
      </c>
      <c r="D218" s="165">
        <f>1*C218</f>
        <v>70</v>
      </c>
      <c r="E218" s="892">
        <f>D218*1</f>
        <v>70</v>
      </c>
      <c r="F218" s="892">
        <f aca="true" t="shared" si="145" ref="F218:K218">F182*$C218/1000</f>
        <v>91</v>
      </c>
      <c r="G218" s="895">
        <f t="shared" si="145"/>
        <v>105</v>
      </c>
      <c r="H218" s="892">
        <f t="shared" si="145"/>
        <v>122.5</v>
      </c>
      <c r="I218" s="892">
        <f t="shared" si="145"/>
        <v>140</v>
      </c>
      <c r="J218" s="892">
        <f t="shared" si="145"/>
        <v>161</v>
      </c>
      <c r="K218" s="892">
        <f t="shared" si="145"/>
        <v>126</v>
      </c>
      <c r="M218" s="191"/>
      <c r="N218" s="260" t="s">
        <v>924</v>
      </c>
      <c r="O218" s="178"/>
      <c r="P218" s="178"/>
      <c r="Q218" s="938"/>
      <c r="R218" s="939">
        <f>(R207+$P$211*R182/1000)/((R182/1000-(R182/1000*($O$210+$O$212))))</f>
        <v>206.96436319941253</v>
      </c>
      <c r="S218" s="939">
        <f>(S207+$P$211*S182/1000)/((S182/1000-S182/1000*($O$210+$O$212)))</f>
        <v>168.24174723795326</v>
      </c>
      <c r="T218" s="939">
        <f>(T207+$P$211*T182/1000)/((T182/1000-T182/1000*($O$210+$O$212)))</f>
        <v>142.42666993031372</v>
      </c>
      <c r="U218" s="939">
        <f>(U207+$P$211*U182/1000)/((U182/1000-U182/1000*($O$210+$O$212)))</f>
        <v>123.9873289962855</v>
      </c>
      <c r="V218" s="939">
        <f>(V207+$P$211*V182/1000)/((V182/1000-V182/1000*($O$210+$O$212)))</f>
        <v>110.1578232957643</v>
      </c>
      <c r="W218" s="939">
        <f>(W207+$P$211*W182/1000)/((W182/1000-W182/1000*($O$210+$O$212)))</f>
        <v>128.0849603149584</v>
      </c>
    </row>
    <row r="219" spans="1:21" ht="12" customHeight="1">
      <c r="A219" s="191"/>
      <c r="B219" s="234" t="s">
        <v>315</v>
      </c>
      <c r="C219" s="892">
        <v>18</v>
      </c>
      <c r="D219" s="165">
        <f>1*C219</f>
        <v>18</v>
      </c>
      <c r="E219" s="892">
        <f>D219*1</f>
        <v>18</v>
      </c>
      <c r="F219" s="892">
        <f aca="true" t="shared" si="146" ref="F219:K219">F182*$C219/1000</f>
        <v>23.4</v>
      </c>
      <c r="G219" s="895">
        <f t="shared" si="146"/>
        <v>27</v>
      </c>
      <c r="H219" s="892">
        <f t="shared" si="146"/>
        <v>31.5</v>
      </c>
      <c r="I219" s="892">
        <f t="shared" si="146"/>
        <v>36</v>
      </c>
      <c r="J219" s="892">
        <f t="shared" si="146"/>
        <v>41.4</v>
      </c>
      <c r="K219" s="892">
        <f t="shared" si="146"/>
        <v>32.4</v>
      </c>
      <c r="M219" s="191"/>
      <c r="N219" s="180"/>
      <c r="O219" s="180"/>
      <c r="P219" s="180"/>
      <c r="Q219" s="180"/>
      <c r="R219" s="180"/>
      <c r="S219" s="180"/>
      <c r="T219" s="180"/>
      <c r="U219" s="180"/>
    </row>
    <row r="220" spans="1:21" ht="12" customHeight="1">
      <c r="A220" s="191"/>
      <c r="B220" s="885" t="s">
        <v>316</v>
      </c>
      <c r="C220" s="940"/>
      <c r="D220" s="941"/>
      <c r="E220" s="940"/>
      <c r="F220" s="940"/>
      <c r="G220" s="940"/>
      <c r="H220" s="940"/>
      <c r="I220" s="942"/>
      <c r="J220" s="940"/>
      <c r="K220" s="940"/>
      <c r="M220" s="191"/>
      <c r="N220" s="776" t="s">
        <v>521</v>
      </c>
      <c r="O220" s="180"/>
      <c r="P220" s="180"/>
      <c r="Q220" s="180"/>
      <c r="R220" s="180"/>
      <c r="S220" s="180"/>
      <c r="T220" s="180"/>
      <c r="U220" s="180"/>
    </row>
    <row r="221" spans="1:21" ht="12" customHeight="1">
      <c r="A221" s="191"/>
      <c r="B221" s="174" t="s">
        <v>520</v>
      </c>
      <c r="C221" s="943">
        <v>0.00121</v>
      </c>
      <c r="D221" s="747">
        <f>C221*C184*G180</f>
        <v>0.236555</v>
      </c>
      <c r="E221" s="892">
        <f>D221*1</f>
        <v>0.236555</v>
      </c>
      <c r="F221" s="892">
        <f aca="true" t="shared" si="147" ref="F221:K221">F182*$D221/1000</f>
        <v>0.3075215</v>
      </c>
      <c r="G221" s="895">
        <f t="shared" si="147"/>
        <v>0.3548325</v>
      </c>
      <c r="H221" s="892">
        <f t="shared" si="147"/>
        <v>0.41397125</v>
      </c>
      <c r="I221" s="892">
        <f t="shared" si="147"/>
        <v>0.47311</v>
      </c>
      <c r="J221" s="892">
        <f t="shared" si="147"/>
        <v>0.5440765</v>
      </c>
      <c r="K221" s="892">
        <f t="shared" si="147"/>
        <v>0.425799</v>
      </c>
      <c r="M221" s="191"/>
      <c r="N221" s="180"/>
      <c r="O221" s="180"/>
      <c r="P221" s="180"/>
      <c r="Q221" s="180"/>
      <c r="R221" s="180"/>
      <c r="S221" s="180"/>
      <c r="T221" s="180"/>
      <c r="U221" s="180"/>
    </row>
    <row r="222" spans="1:21" ht="12" customHeight="1">
      <c r="A222" s="191"/>
      <c r="B222" s="285" t="s">
        <v>317</v>
      </c>
      <c r="C222" s="943">
        <v>0.015</v>
      </c>
      <c r="D222" s="747">
        <f>C222*C184*G180</f>
        <v>2.9324999999999997</v>
      </c>
      <c r="E222" s="892">
        <f>D222*1</f>
        <v>2.9324999999999997</v>
      </c>
      <c r="F222" s="892">
        <f aca="true" t="shared" si="148" ref="F222:K222">F182*$D222/1000</f>
        <v>3.8122499999999997</v>
      </c>
      <c r="G222" s="895">
        <f t="shared" si="148"/>
        <v>4.398749999999999</v>
      </c>
      <c r="H222" s="892">
        <f t="shared" si="148"/>
        <v>5.131874999999999</v>
      </c>
      <c r="I222" s="892">
        <f t="shared" si="148"/>
        <v>5.864999999999999</v>
      </c>
      <c r="J222" s="892">
        <f t="shared" si="148"/>
        <v>6.744749999999999</v>
      </c>
      <c r="K222" s="892">
        <f t="shared" si="148"/>
        <v>5.278499999999999</v>
      </c>
      <c r="M222" s="191"/>
      <c r="N222" s="180"/>
      <c r="O222" s="180"/>
      <c r="P222" s="180"/>
      <c r="Q222" s="180"/>
      <c r="R222" s="180"/>
      <c r="S222" s="180"/>
      <c r="T222" s="180"/>
      <c r="U222" s="180"/>
    </row>
    <row r="223" spans="1:21" ht="12" customHeight="1">
      <c r="A223" s="191"/>
      <c r="B223" s="879" t="s">
        <v>323</v>
      </c>
      <c r="C223" s="908"/>
      <c r="D223" s="944">
        <f>SUM(D218:D222)</f>
        <v>91.169055</v>
      </c>
      <c r="E223" s="908">
        <f aca="true" t="shared" si="149" ref="E223:K223">SUM(E218:E222)</f>
        <v>91.169055</v>
      </c>
      <c r="F223" s="908">
        <f t="shared" si="149"/>
        <v>118.51977150000002</v>
      </c>
      <c r="G223" s="909">
        <f t="shared" si="149"/>
        <v>136.7535825</v>
      </c>
      <c r="H223" s="908">
        <f t="shared" si="149"/>
        <v>159.54584625</v>
      </c>
      <c r="I223" s="910">
        <f t="shared" si="149"/>
        <v>182.33811</v>
      </c>
      <c r="J223" s="908">
        <f t="shared" si="149"/>
        <v>209.6888265</v>
      </c>
      <c r="K223" s="908">
        <f t="shared" si="149"/>
        <v>164.10429900000003</v>
      </c>
      <c r="M223" s="191"/>
      <c r="N223" s="180"/>
      <c r="O223" s="180"/>
      <c r="P223" s="180"/>
      <c r="Q223" s="180"/>
      <c r="R223" s="180"/>
      <c r="S223" s="180"/>
      <c r="T223" s="180"/>
      <c r="U223" s="180"/>
    </row>
    <row r="224" spans="1:21" ht="12" customHeight="1">
      <c r="A224" s="191"/>
      <c r="F224" s="65"/>
      <c r="G224" s="65"/>
      <c r="I224" s="157"/>
      <c r="M224" s="191"/>
      <c r="N224" s="180"/>
      <c r="O224" s="180"/>
      <c r="P224" s="180"/>
      <c r="Q224" s="180"/>
      <c r="R224" s="180"/>
      <c r="S224" s="180"/>
      <c r="T224" s="180"/>
      <c r="U224" s="180"/>
    </row>
    <row r="225" spans="1:21" ht="12" customHeight="1">
      <c r="A225" s="191"/>
      <c r="B225" s="945"/>
      <c r="C225" s="220"/>
      <c r="D225" s="946"/>
      <c r="E225" s="940"/>
      <c r="F225" s="940"/>
      <c r="G225" s="940"/>
      <c r="H225" s="940"/>
      <c r="I225" s="942"/>
      <c r="J225" s="940"/>
      <c r="K225" s="940"/>
      <c r="M225" s="191"/>
      <c r="N225" s="180"/>
      <c r="O225" s="180"/>
      <c r="P225" s="180"/>
      <c r="Q225" s="180"/>
      <c r="R225" s="180"/>
      <c r="S225" s="180"/>
      <c r="T225" s="180"/>
      <c r="U225" s="180"/>
    </row>
    <row r="226" spans="1:21" ht="12" customHeight="1">
      <c r="A226" s="191"/>
      <c r="B226" s="329" t="s">
        <v>324</v>
      </c>
      <c r="C226" s="220"/>
      <c r="D226" s="221"/>
      <c r="E226" s="892"/>
      <c r="F226" s="892">
        <f aca="true" t="shared" si="150" ref="F226:K226">F215+F223</f>
        <v>406.7197715000001</v>
      </c>
      <c r="G226" s="895">
        <f t="shared" si="150"/>
        <v>424.95358250000004</v>
      </c>
      <c r="H226" s="892">
        <f t="shared" si="150"/>
        <v>447.74584625000006</v>
      </c>
      <c r="I226" s="905">
        <f t="shared" si="150"/>
        <v>470.5381100000001</v>
      </c>
      <c r="J226" s="892">
        <f t="shared" si="150"/>
        <v>497.88882650000005</v>
      </c>
      <c r="K226" s="892">
        <f t="shared" si="150"/>
        <v>452.30429900000007</v>
      </c>
      <c r="M226" s="191"/>
      <c r="N226" s="180"/>
      <c r="O226" s="180"/>
      <c r="P226" s="180"/>
      <c r="Q226" s="180"/>
      <c r="R226" s="180"/>
      <c r="S226" s="180"/>
      <c r="T226" s="180"/>
      <c r="U226" s="180"/>
    </row>
    <row r="227" spans="1:21" ht="12" customHeight="1" thickBot="1">
      <c r="A227" s="191"/>
      <c r="B227" s="947" t="s">
        <v>325</v>
      </c>
      <c r="C227" s="948"/>
      <c r="D227" s="949"/>
      <c r="E227" s="950"/>
      <c r="F227" s="950">
        <f aca="true" t="shared" si="151" ref="F227:K227">F185-F226</f>
        <v>-152.5697715000001</v>
      </c>
      <c r="G227" s="951">
        <f t="shared" si="151"/>
        <v>-131.70358250000004</v>
      </c>
      <c r="H227" s="950">
        <f t="shared" si="151"/>
        <v>-105.62084625000006</v>
      </c>
      <c r="I227" s="952">
        <f t="shared" si="151"/>
        <v>-79.53811000000007</v>
      </c>
      <c r="J227" s="950">
        <f t="shared" si="151"/>
        <v>-48.23882650000007</v>
      </c>
      <c r="K227" s="950">
        <f t="shared" si="151"/>
        <v>-100.4042990000001</v>
      </c>
      <c r="M227" s="191"/>
      <c r="N227" s="180"/>
      <c r="O227" s="180"/>
      <c r="P227" s="180"/>
      <c r="Q227" s="180"/>
      <c r="R227" s="180"/>
      <c r="S227" s="180"/>
      <c r="T227" s="180"/>
      <c r="U227" s="180"/>
    </row>
    <row r="228" spans="1:21" ht="12" customHeight="1" thickBot="1">
      <c r="A228" s="191"/>
      <c r="B228" s="935" t="s">
        <v>923</v>
      </c>
      <c r="C228" s="936">
        <f>F215/(C184*G180-D223)*1000</f>
        <v>2762.363553785505</v>
      </c>
      <c r="D228" s="937"/>
      <c r="F228" s="65"/>
      <c r="G228" s="65"/>
      <c r="M228" s="191"/>
      <c r="N228" s="180"/>
      <c r="O228" s="180"/>
      <c r="P228" s="180"/>
      <c r="Q228" s="180"/>
      <c r="R228" s="180"/>
      <c r="S228" s="180"/>
      <c r="T228" s="180"/>
      <c r="U228" s="180"/>
    </row>
    <row r="229" spans="2:21" ht="12" customHeight="1" thickBot="1">
      <c r="B229" s="260" t="s">
        <v>924</v>
      </c>
      <c r="C229" s="178"/>
      <c r="D229" s="178"/>
      <c r="E229" s="938"/>
      <c r="F229" s="953">
        <f aca="true" t="shared" si="152" ref="F229:K229">(F215+$C$219*F182/1000+$C$218*F182/1000)/((F182/1000-F182/1000*($C$221+$C$222)))/$G$180</f>
        <v>370.3472198362607</v>
      </c>
      <c r="G229" s="953">
        <f t="shared" si="152"/>
        <v>334.9989606023445</v>
      </c>
      <c r="H229" s="953">
        <f t="shared" si="152"/>
        <v>302.17557702799354</v>
      </c>
      <c r="I229" s="953">
        <f t="shared" si="152"/>
        <v>277.5580393472304</v>
      </c>
      <c r="J229" s="953">
        <f t="shared" si="152"/>
        <v>255.0811571169684</v>
      </c>
      <c r="K229" s="953">
        <f t="shared" si="152"/>
        <v>296.70501309893507</v>
      </c>
      <c r="M229" s="191"/>
      <c r="N229" s="180"/>
      <c r="O229" s="180"/>
      <c r="P229" s="180"/>
      <c r="Q229" s="180"/>
      <c r="R229" s="180"/>
      <c r="S229" s="180"/>
      <c r="T229" s="180"/>
      <c r="U229" s="180"/>
    </row>
    <row r="230" spans="2:21" ht="12" customHeight="1">
      <c r="B230" s="776" t="s">
        <v>521</v>
      </c>
      <c r="C230" s="356"/>
      <c r="D230" s="356"/>
      <c r="E230" s="954"/>
      <c r="F230" s="955"/>
      <c r="G230" s="955"/>
      <c r="H230" s="956"/>
      <c r="I230" s="956"/>
      <c r="J230" s="956"/>
      <c r="K230" s="956"/>
      <c r="M230" s="191"/>
      <c r="N230" s="180"/>
      <c r="O230" s="180"/>
      <c r="P230" s="180"/>
      <c r="Q230" s="180"/>
      <c r="R230" s="180"/>
      <c r="S230" s="180"/>
      <c r="T230" s="180"/>
      <c r="U230" s="180"/>
    </row>
    <row r="231" spans="1:21" ht="12.75">
      <c r="A231" s="779"/>
      <c r="B231" s="779"/>
      <c r="C231" s="779"/>
      <c r="D231" s="779"/>
      <c r="E231" s="779"/>
      <c r="F231" s="779"/>
      <c r="G231" s="779"/>
      <c r="H231" s="779"/>
      <c r="I231" s="779"/>
      <c r="J231" s="779"/>
      <c r="K231" s="779"/>
      <c r="L231" s="779"/>
      <c r="M231" s="777"/>
      <c r="N231" s="957"/>
      <c r="O231" s="957"/>
      <c r="P231" s="957"/>
      <c r="Q231" s="957"/>
      <c r="R231" s="957"/>
      <c r="S231" s="180"/>
      <c r="T231" s="180"/>
      <c r="U231" s="180"/>
    </row>
    <row r="232" spans="1:23" ht="15.75">
      <c r="A232" s="1131" t="s">
        <v>525</v>
      </c>
      <c r="B232" s="1131"/>
      <c r="C232" s="1131"/>
      <c r="D232" s="1131"/>
      <c r="E232" s="1131"/>
      <c r="F232" s="1131"/>
      <c r="G232" s="1131"/>
      <c r="H232" s="1131"/>
      <c r="I232" s="1131"/>
      <c r="J232" s="1131"/>
      <c r="K232" s="1131"/>
      <c r="M232" s="1131" t="s">
        <v>523</v>
      </c>
      <c r="N232" s="1131"/>
      <c r="O232" s="1131"/>
      <c r="P232" s="1131"/>
      <c r="Q232" s="1131"/>
      <c r="R232" s="1131"/>
      <c r="S232" s="1131"/>
      <c r="T232" s="1131"/>
      <c r="U232" s="1131"/>
      <c r="V232" s="1131"/>
      <c r="W232" s="1131"/>
    </row>
    <row r="233" spans="1:15" ht="12.75">
      <c r="A233" s="191"/>
      <c r="B233" s="57" t="s">
        <v>833</v>
      </c>
      <c r="C233" s="958" t="s">
        <v>374</v>
      </c>
      <c r="I233" s="438"/>
      <c r="M233" s="191"/>
      <c r="N233" s="57" t="s">
        <v>833</v>
      </c>
      <c r="O233" s="959" t="s">
        <v>509</v>
      </c>
    </row>
    <row r="234" spans="1:20" ht="12.75">
      <c r="A234" s="191"/>
      <c r="B234" s="57" t="s">
        <v>899</v>
      </c>
      <c r="C234" s="707">
        <v>80</v>
      </c>
      <c r="I234" s="438"/>
      <c r="M234" s="191"/>
      <c r="N234" s="57" t="s">
        <v>899</v>
      </c>
      <c r="O234" s="158">
        <v>80</v>
      </c>
      <c r="S234" s="25" t="s">
        <v>328</v>
      </c>
      <c r="T234" s="20">
        <v>0.9</v>
      </c>
    </row>
    <row r="235" spans="1:23" ht="13.5" thickBot="1">
      <c r="A235" s="191"/>
      <c r="F235" t="s">
        <v>518</v>
      </c>
      <c r="G235" s="20">
        <v>0.8</v>
      </c>
      <c r="I235" s="438"/>
      <c r="M235" s="191"/>
      <c r="N235" s="853" t="s">
        <v>901</v>
      </c>
      <c r="O235" s="854" t="s">
        <v>902</v>
      </c>
      <c r="R235" s="1144" t="s">
        <v>332</v>
      </c>
      <c r="S235" s="1144"/>
      <c r="T235" s="1144"/>
      <c r="U235" s="1144"/>
      <c r="V235" s="1145"/>
      <c r="W235" s="159" t="s">
        <v>904</v>
      </c>
    </row>
    <row r="236" spans="2:23" ht="13.5" thickBot="1">
      <c r="B236" s="853" t="s">
        <v>901</v>
      </c>
      <c r="C236" s="854" t="s">
        <v>902</v>
      </c>
      <c r="D236" s="853" t="s">
        <v>331</v>
      </c>
      <c r="F236" s="1162" t="s">
        <v>332</v>
      </c>
      <c r="G236" s="1163"/>
      <c r="H236" s="1163"/>
      <c r="I236" s="1163"/>
      <c r="J236" s="1164"/>
      <c r="K236" s="712" t="s">
        <v>904</v>
      </c>
      <c r="M236" s="191"/>
      <c r="N236" s="204"/>
      <c r="O236" s="206" t="s">
        <v>905</v>
      </c>
      <c r="R236" s="865">
        <v>4000</v>
      </c>
      <c r="S236" s="865">
        <v>4250</v>
      </c>
      <c r="T236" s="865">
        <v>4500</v>
      </c>
      <c r="U236" s="865">
        <v>4750</v>
      </c>
      <c r="V236" s="865">
        <v>5000</v>
      </c>
      <c r="W236" s="159">
        <v>4658</v>
      </c>
    </row>
    <row r="237" spans="2:22" ht="12.75">
      <c r="B237" s="713"/>
      <c r="C237" s="206" t="s">
        <v>905</v>
      </c>
      <c r="D237" s="960"/>
      <c r="E237" s="961"/>
      <c r="F237" s="210">
        <v>3500</v>
      </c>
      <c r="G237" s="818">
        <v>3800</v>
      </c>
      <c r="H237" s="961">
        <v>4000</v>
      </c>
      <c r="I237" s="961">
        <v>4250</v>
      </c>
      <c r="J237" s="209">
        <v>4750</v>
      </c>
      <c r="K237" s="159">
        <v>3592</v>
      </c>
      <c r="M237" s="191"/>
      <c r="N237" s="180" t="s">
        <v>333</v>
      </c>
      <c r="O237" s="962">
        <v>140</v>
      </c>
      <c r="P237" s="870"/>
      <c r="R237" s="870"/>
      <c r="S237" s="870"/>
      <c r="T237" s="870"/>
      <c r="U237" s="870"/>
      <c r="V237" s="871"/>
    </row>
    <row r="238" spans="2:23" ht="12.75">
      <c r="B238" s="180" t="s">
        <v>333</v>
      </c>
      <c r="C238" s="212">
        <v>70</v>
      </c>
      <c r="D238" s="870"/>
      <c r="E238" s="870"/>
      <c r="F238" s="963"/>
      <c r="G238" s="963"/>
      <c r="H238" s="870"/>
      <c r="I238" s="871"/>
      <c r="M238" s="191"/>
      <c r="N238" s="874" t="s">
        <v>907</v>
      </c>
      <c r="O238" s="921"/>
      <c r="P238" s="171"/>
      <c r="R238" s="875">
        <f aca="true" t="shared" si="153" ref="R238:W238">$O237*R236*$T234/1000</f>
        <v>504</v>
      </c>
      <c r="S238" s="875">
        <f t="shared" si="153"/>
        <v>535.5</v>
      </c>
      <c r="T238" s="875">
        <f t="shared" si="153"/>
        <v>567</v>
      </c>
      <c r="U238" s="875">
        <f t="shared" si="153"/>
        <v>598.5</v>
      </c>
      <c r="V238" s="875">
        <f t="shared" si="153"/>
        <v>630</v>
      </c>
      <c r="W238" s="875">
        <f t="shared" si="153"/>
        <v>586.908</v>
      </c>
    </row>
    <row r="239" spans="2:21" ht="12.75">
      <c r="B239" s="874" t="s">
        <v>907</v>
      </c>
      <c r="C239" s="218"/>
      <c r="D239" s="171"/>
      <c r="E239" s="923"/>
      <c r="F239" s="964">
        <f aca="true" t="shared" si="154" ref="F239:K239">$C$238*F237*$G235/1000</f>
        <v>196</v>
      </c>
      <c r="G239" s="964">
        <f t="shared" si="154"/>
        <v>212.8</v>
      </c>
      <c r="H239" s="964">
        <f t="shared" si="154"/>
        <v>224</v>
      </c>
      <c r="I239" s="964">
        <f t="shared" si="154"/>
        <v>238</v>
      </c>
      <c r="J239" s="964">
        <f t="shared" si="154"/>
        <v>266</v>
      </c>
      <c r="K239" s="964">
        <f t="shared" si="154"/>
        <v>201.152</v>
      </c>
      <c r="M239" s="191"/>
      <c r="N239" s="874" t="s">
        <v>908</v>
      </c>
      <c r="O239" s="220"/>
      <c r="P239" s="221"/>
      <c r="Q239" s="218"/>
      <c r="R239" s="218"/>
      <c r="S239" s="218"/>
      <c r="T239" s="218"/>
      <c r="U239" s="218"/>
    </row>
    <row r="240" spans="2:21" ht="13.5" thickBot="1">
      <c r="B240" s="874" t="s">
        <v>908</v>
      </c>
      <c r="C240" s="220"/>
      <c r="D240" s="221"/>
      <c r="E240" s="218"/>
      <c r="F240" s="218"/>
      <c r="G240" s="218"/>
      <c r="H240" s="218"/>
      <c r="I240" s="218"/>
      <c r="M240" s="191"/>
      <c r="N240" s="965" t="s">
        <v>909</v>
      </c>
      <c r="O240" s="869">
        <v>14</v>
      </c>
      <c r="P240" s="221"/>
      <c r="Q240" s="881"/>
      <c r="R240" s="881"/>
      <c r="S240" s="881"/>
      <c r="T240" s="881"/>
      <c r="U240" s="881"/>
    </row>
    <row r="241" spans="2:23" ht="13.5" thickBot="1">
      <c r="B241" s="880" t="s">
        <v>909</v>
      </c>
      <c r="C241" s="164">
        <v>14</v>
      </c>
      <c r="D241" s="221"/>
      <c r="E241" s="881"/>
      <c r="F241" s="881"/>
      <c r="G241" s="881"/>
      <c r="H241" s="881"/>
      <c r="I241" s="881"/>
      <c r="M241" s="155" t="s">
        <v>512</v>
      </c>
      <c r="N241" s="885"/>
      <c r="O241" s="886" t="s">
        <v>974</v>
      </c>
      <c r="P241" s="219" t="s">
        <v>910</v>
      </c>
      <c r="Q241" s="727" t="s">
        <v>911</v>
      </c>
      <c r="R241" s="1135" t="s">
        <v>912</v>
      </c>
      <c r="S241" s="1136"/>
      <c r="T241" s="1136"/>
      <c r="U241" s="1136"/>
      <c r="V241" s="1136"/>
      <c r="W241" s="1137"/>
    </row>
    <row r="242" spans="1:23" ht="13.5" thickBot="1">
      <c r="A242" s="155" t="s">
        <v>512</v>
      </c>
      <c r="B242" s="885"/>
      <c r="C242" s="886" t="s">
        <v>974</v>
      </c>
      <c r="D242" s="219" t="s">
        <v>910</v>
      </c>
      <c r="E242" s="727" t="s">
        <v>911</v>
      </c>
      <c r="F242" s="1135" t="s">
        <v>912</v>
      </c>
      <c r="G242" s="1136"/>
      <c r="H242" s="1136"/>
      <c r="I242" s="1136"/>
      <c r="J242" s="1136"/>
      <c r="K242" s="1137"/>
      <c r="M242" s="225">
        <v>1</v>
      </c>
      <c r="N242" s="784" t="str">
        <f aca="true" t="shared" si="155" ref="N242:N247">IF($M242&lt;&gt;0,VLOOKUP($M242,equi,2),"")</f>
        <v>Arado de  Rejas  ( 1º pasada )</v>
      </c>
      <c r="O242" s="889">
        <v>1</v>
      </c>
      <c r="P242" s="235">
        <f aca="true" t="shared" si="156" ref="P242:P247">IF($M242&lt;&gt;0,VLOOKUP($M242,equi,3),"")</f>
        <v>1</v>
      </c>
      <c r="Q242" s="869">
        <f aca="true" t="shared" si="157" ref="Q242:Q247">$O$240*P242</f>
        <v>14</v>
      </c>
      <c r="R242" s="890">
        <f aca="true" t="shared" si="158" ref="R242:W247">$Q242*$O242</f>
        <v>14</v>
      </c>
      <c r="S242" s="890">
        <f t="shared" si="158"/>
        <v>14</v>
      </c>
      <c r="T242" s="890">
        <f t="shared" si="158"/>
        <v>14</v>
      </c>
      <c r="U242" s="890">
        <f t="shared" si="158"/>
        <v>14</v>
      </c>
      <c r="V242" s="890">
        <f t="shared" si="158"/>
        <v>14</v>
      </c>
      <c r="W242" s="890">
        <f t="shared" si="158"/>
        <v>14</v>
      </c>
    </row>
    <row r="243" spans="1:23" ht="12.75">
      <c r="A243" s="225">
        <v>8</v>
      </c>
      <c r="B243" s="784" t="str">
        <f aca="true" t="shared" si="159" ref="B243:B250">IF($A243&lt;&gt;0,VLOOKUP($A243,equi,2),"")</f>
        <v>Cincel  ( 2º  Pasada )</v>
      </c>
      <c r="C243" s="891">
        <v>1</v>
      </c>
      <c r="D243" s="235">
        <f aca="true" t="shared" si="160" ref="D243:D250">IF($A243&lt;&gt;0,VLOOKUP($A243,equi,3),"")</f>
        <v>0.8</v>
      </c>
      <c r="E243" s="164">
        <f aca="true" t="shared" si="161" ref="E243:E250">D243*$C$241</f>
        <v>11.200000000000001</v>
      </c>
      <c r="F243" s="966">
        <f aca="true" t="shared" si="162" ref="F243:K250">$E243*$C243</f>
        <v>11.200000000000001</v>
      </c>
      <c r="G243" s="967">
        <f t="shared" si="162"/>
        <v>11.200000000000001</v>
      </c>
      <c r="H243" s="968">
        <f t="shared" si="162"/>
        <v>11.200000000000001</v>
      </c>
      <c r="I243" s="968">
        <f t="shared" si="162"/>
        <v>11.200000000000001</v>
      </c>
      <c r="J243" s="968">
        <f t="shared" si="162"/>
        <v>11.200000000000001</v>
      </c>
      <c r="K243" s="968">
        <f t="shared" si="162"/>
        <v>11.200000000000001</v>
      </c>
      <c r="M243" s="225">
        <v>5</v>
      </c>
      <c r="N243" s="784" t="str">
        <f t="shared" si="155"/>
        <v>Disco Doble Acción</v>
      </c>
      <c r="O243" s="889">
        <v>2</v>
      </c>
      <c r="P243" s="235">
        <f t="shared" si="156"/>
        <v>0.5</v>
      </c>
      <c r="Q243" s="869">
        <f t="shared" si="157"/>
        <v>7</v>
      </c>
      <c r="R243" s="869">
        <f t="shared" si="158"/>
        <v>14</v>
      </c>
      <c r="S243" s="869">
        <f t="shared" si="158"/>
        <v>14</v>
      </c>
      <c r="T243" s="869">
        <f t="shared" si="158"/>
        <v>14</v>
      </c>
      <c r="U243" s="869">
        <f t="shared" si="158"/>
        <v>14</v>
      </c>
      <c r="V243" s="869">
        <f t="shared" si="158"/>
        <v>14</v>
      </c>
      <c r="W243" s="869">
        <f t="shared" si="158"/>
        <v>14</v>
      </c>
    </row>
    <row r="244" spans="1:23" ht="12.75">
      <c r="A244" s="225">
        <v>6</v>
      </c>
      <c r="B244" s="784" t="str">
        <f t="shared" si="159"/>
        <v>Disco Doble Acción más Rastra de Dientes</v>
      </c>
      <c r="C244" s="891">
        <v>2.2</v>
      </c>
      <c r="D244" s="235">
        <f t="shared" si="160"/>
        <v>0.65</v>
      </c>
      <c r="E244" s="164">
        <f t="shared" si="161"/>
        <v>9.1</v>
      </c>
      <c r="F244" s="276">
        <f t="shared" si="162"/>
        <v>20.02</v>
      </c>
      <c r="G244" s="969">
        <f t="shared" si="162"/>
        <v>20.02</v>
      </c>
      <c r="H244" s="970">
        <f t="shared" si="162"/>
        <v>20.02</v>
      </c>
      <c r="I244" s="970">
        <f t="shared" si="162"/>
        <v>20.02</v>
      </c>
      <c r="J244" s="970">
        <f t="shared" si="162"/>
        <v>20.02</v>
      </c>
      <c r="K244" s="970">
        <f t="shared" si="162"/>
        <v>20.02</v>
      </c>
      <c r="M244" s="225">
        <v>25</v>
      </c>
      <c r="N244" s="784" t="str">
        <f t="shared" si="155"/>
        <v>Rolo Desterronador - Compactador</v>
      </c>
      <c r="O244" s="889">
        <v>1</v>
      </c>
      <c r="P244" s="235">
        <f t="shared" si="156"/>
        <v>0.3</v>
      </c>
      <c r="Q244" s="869">
        <f t="shared" si="157"/>
        <v>4.2</v>
      </c>
      <c r="R244" s="869">
        <f t="shared" si="158"/>
        <v>4.2</v>
      </c>
      <c r="S244" s="869">
        <f t="shared" si="158"/>
        <v>4.2</v>
      </c>
      <c r="T244" s="869">
        <f t="shared" si="158"/>
        <v>4.2</v>
      </c>
      <c r="U244" s="869">
        <f t="shared" si="158"/>
        <v>4.2</v>
      </c>
      <c r="V244" s="869">
        <f t="shared" si="158"/>
        <v>4.2</v>
      </c>
      <c r="W244" s="869">
        <f t="shared" si="158"/>
        <v>4.2</v>
      </c>
    </row>
    <row r="245" spans="1:23" ht="12.75">
      <c r="A245" s="225">
        <v>11</v>
      </c>
      <c r="B245" s="784" t="str">
        <f t="shared" si="159"/>
        <v>Cultivador de Campo</v>
      </c>
      <c r="C245" s="891">
        <v>1</v>
      </c>
      <c r="D245" s="235">
        <f t="shared" si="160"/>
        <v>0.45</v>
      </c>
      <c r="E245" s="164">
        <f t="shared" si="161"/>
        <v>6.3</v>
      </c>
      <c r="F245" s="276">
        <f t="shared" si="162"/>
        <v>6.3</v>
      </c>
      <c r="G245" s="969">
        <f t="shared" si="162"/>
        <v>6.3</v>
      </c>
      <c r="H245" s="970">
        <f t="shared" si="162"/>
        <v>6.3</v>
      </c>
      <c r="I245" s="970">
        <f t="shared" si="162"/>
        <v>6.3</v>
      </c>
      <c r="J245" s="970">
        <f t="shared" si="162"/>
        <v>6.3</v>
      </c>
      <c r="K245" s="970">
        <f t="shared" si="162"/>
        <v>6.3</v>
      </c>
      <c r="M245" s="225">
        <v>13</v>
      </c>
      <c r="N245" s="784" t="str">
        <f t="shared" si="155"/>
        <v>Rastra de Dientes</v>
      </c>
      <c r="O245" s="889">
        <v>1</v>
      </c>
      <c r="P245" s="235">
        <f t="shared" si="156"/>
        <v>0.25</v>
      </c>
      <c r="Q245" s="869">
        <f t="shared" si="157"/>
        <v>3.5</v>
      </c>
      <c r="R245" s="869">
        <f t="shared" si="158"/>
        <v>3.5</v>
      </c>
      <c r="S245" s="869">
        <f t="shared" si="158"/>
        <v>3.5</v>
      </c>
      <c r="T245" s="869">
        <f t="shared" si="158"/>
        <v>3.5</v>
      </c>
      <c r="U245" s="869">
        <f t="shared" si="158"/>
        <v>3.5</v>
      </c>
      <c r="V245" s="869">
        <f t="shared" si="158"/>
        <v>3.5</v>
      </c>
      <c r="W245" s="869">
        <f t="shared" si="158"/>
        <v>3.5</v>
      </c>
    </row>
    <row r="246" spans="1:23" ht="12.75">
      <c r="A246" s="225">
        <v>13</v>
      </c>
      <c r="B246" s="784" t="str">
        <f t="shared" si="159"/>
        <v>Rastra de Dientes</v>
      </c>
      <c r="C246" s="891">
        <v>1</v>
      </c>
      <c r="D246" s="235">
        <f t="shared" si="160"/>
        <v>0.25</v>
      </c>
      <c r="E246" s="164">
        <f t="shared" si="161"/>
        <v>3.5</v>
      </c>
      <c r="F246" s="276">
        <f t="shared" si="162"/>
        <v>3.5</v>
      </c>
      <c r="G246" s="969">
        <f t="shared" si="162"/>
        <v>3.5</v>
      </c>
      <c r="H246" s="970">
        <f t="shared" si="162"/>
        <v>3.5</v>
      </c>
      <c r="I246" s="970">
        <f t="shared" si="162"/>
        <v>3.5</v>
      </c>
      <c r="J246" s="970">
        <f t="shared" si="162"/>
        <v>3.5</v>
      </c>
      <c r="K246" s="970">
        <f t="shared" si="162"/>
        <v>3.5</v>
      </c>
      <c r="M246" s="896">
        <v>16</v>
      </c>
      <c r="N246" s="784" t="str">
        <f t="shared" si="155"/>
        <v>Siembra Gruesa Convencional</v>
      </c>
      <c r="O246" s="889">
        <v>2</v>
      </c>
      <c r="P246" s="235">
        <f t="shared" si="156"/>
        <v>0.45</v>
      </c>
      <c r="Q246" s="869">
        <f t="shared" si="157"/>
        <v>6.3</v>
      </c>
      <c r="R246" s="869">
        <f t="shared" si="158"/>
        <v>12.6</v>
      </c>
      <c r="S246" s="869">
        <f t="shared" si="158"/>
        <v>12.6</v>
      </c>
      <c r="T246" s="869">
        <f t="shared" si="158"/>
        <v>12.6</v>
      </c>
      <c r="U246" s="869">
        <f t="shared" si="158"/>
        <v>12.6</v>
      </c>
      <c r="V246" s="869">
        <f t="shared" si="158"/>
        <v>12.6</v>
      </c>
      <c r="W246" s="869">
        <f t="shared" si="158"/>
        <v>12.6</v>
      </c>
    </row>
    <row r="247" spans="1:23" ht="12.75">
      <c r="A247" s="225">
        <v>16</v>
      </c>
      <c r="B247" s="784" t="str">
        <f t="shared" si="159"/>
        <v>Siembra Gruesa Convencional</v>
      </c>
      <c r="C247" s="891">
        <v>1.2</v>
      </c>
      <c r="D247" s="235">
        <f t="shared" si="160"/>
        <v>0.45</v>
      </c>
      <c r="E247" s="164">
        <f t="shared" si="161"/>
        <v>6.3</v>
      </c>
      <c r="F247" s="276">
        <f t="shared" si="162"/>
        <v>7.56</v>
      </c>
      <c r="G247" s="969">
        <f t="shared" si="162"/>
        <v>7.56</v>
      </c>
      <c r="H247" s="970">
        <f t="shared" si="162"/>
        <v>7.56</v>
      </c>
      <c r="I247" s="970">
        <f t="shared" si="162"/>
        <v>7.56</v>
      </c>
      <c r="J247" s="970">
        <f t="shared" si="162"/>
        <v>7.56</v>
      </c>
      <c r="K247" s="970">
        <f t="shared" si="162"/>
        <v>7.56</v>
      </c>
      <c r="M247" s="896">
        <v>30</v>
      </c>
      <c r="N247" s="784" t="str">
        <f t="shared" si="155"/>
        <v>Aplicacion Fertilizante con avión</v>
      </c>
      <c r="O247" s="889">
        <v>2</v>
      </c>
      <c r="P247" s="235">
        <f t="shared" si="156"/>
        <v>0.4</v>
      </c>
      <c r="Q247" s="869">
        <f t="shared" si="157"/>
        <v>5.6000000000000005</v>
      </c>
      <c r="R247" s="869">
        <f t="shared" si="158"/>
        <v>11.200000000000001</v>
      </c>
      <c r="S247" s="869">
        <f t="shared" si="158"/>
        <v>11.200000000000001</v>
      </c>
      <c r="T247" s="869">
        <f t="shared" si="158"/>
        <v>11.200000000000001</v>
      </c>
      <c r="U247" s="869">
        <f t="shared" si="158"/>
        <v>11.200000000000001</v>
      </c>
      <c r="V247" s="869">
        <f t="shared" si="158"/>
        <v>11.200000000000001</v>
      </c>
      <c r="W247" s="869">
        <f t="shared" si="158"/>
        <v>11.200000000000001</v>
      </c>
    </row>
    <row r="248" spans="1:23" ht="12.75">
      <c r="A248" s="225">
        <v>20</v>
      </c>
      <c r="B248" s="784" t="str">
        <f t="shared" si="159"/>
        <v>Escardillo</v>
      </c>
      <c r="C248" s="891">
        <v>2</v>
      </c>
      <c r="D248" s="235">
        <f t="shared" si="160"/>
        <v>0.4</v>
      </c>
      <c r="E248" s="164">
        <f t="shared" si="161"/>
        <v>5.6000000000000005</v>
      </c>
      <c r="F248" s="276">
        <f t="shared" si="162"/>
        <v>11.200000000000001</v>
      </c>
      <c r="G248" s="969">
        <f t="shared" si="162"/>
        <v>11.200000000000001</v>
      </c>
      <c r="H248" s="970">
        <f t="shared" si="162"/>
        <v>11.200000000000001</v>
      </c>
      <c r="I248" s="970">
        <f t="shared" si="162"/>
        <v>11.200000000000001</v>
      </c>
      <c r="J248" s="970">
        <f t="shared" si="162"/>
        <v>11.200000000000001</v>
      </c>
      <c r="K248" s="970">
        <f t="shared" si="162"/>
        <v>11.200000000000001</v>
      </c>
      <c r="M248" s="901"/>
      <c r="N248" s="166" t="s">
        <v>913</v>
      </c>
      <c r="O248" s="343"/>
      <c r="P248" s="343"/>
      <c r="Q248" s="343"/>
      <c r="R248" s="971">
        <f aca="true" t="shared" si="163" ref="R248:W248">SUM(R242:R247)</f>
        <v>59.50000000000001</v>
      </c>
      <c r="S248" s="971">
        <f t="shared" si="163"/>
        <v>59.50000000000001</v>
      </c>
      <c r="T248" s="971">
        <f t="shared" si="163"/>
        <v>59.50000000000001</v>
      </c>
      <c r="U248" s="971">
        <f t="shared" si="163"/>
        <v>59.50000000000001</v>
      </c>
      <c r="V248" s="971">
        <f t="shared" si="163"/>
        <v>59.50000000000001</v>
      </c>
      <c r="W248" s="971">
        <f t="shared" si="163"/>
        <v>59.50000000000001</v>
      </c>
    </row>
    <row r="249" spans="1:13" ht="13.5" thickBot="1">
      <c r="A249" s="225">
        <v>23</v>
      </c>
      <c r="B249" s="784" t="str">
        <f t="shared" si="159"/>
        <v>Pulverización Terrestre p/Insecticidas</v>
      </c>
      <c r="C249" s="972">
        <v>1</v>
      </c>
      <c r="D249" s="235">
        <f t="shared" si="160"/>
        <v>0.3</v>
      </c>
      <c r="E249" s="164">
        <f t="shared" si="161"/>
        <v>4.2</v>
      </c>
      <c r="F249" s="276">
        <f t="shared" si="162"/>
        <v>4.2</v>
      </c>
      <c r="G249" s="969">
        <f t="shared" si="162"/>
        <v>4.2</v>
      </c>
      <c r="H249" s="970">
        <f t="shared" si="162"/>
        <v>4.2</v>
      </c>
      <c r="I249" s="970">
        <f t="shared" si="162"/>
        <v>4.2</v>
      </c>
      <c r="J249" s="970">
        <f t="shared" si="162"/>
        <v>4.2</v>
      </c>
      <c r="K249" s="970">
        <f t="shared" si="162"/>
        <v>4.2</v>
      </c>
      <c r="M249" s="901"/>
    </row>
    <row r="250" spans="1:23" ht="13.5" thickBot="1">
      <c r="A250" s="225">
        <v>22</v>
      </c>
      <c r="B250" s="784" t="str">
        <f t="shared" si="159"/>
        <v>Pulverización Terrestre p/Herbicidas y Defoliantes</v>
      </c>
      <c r="C250" s="972">
        <v>1</v>
      </c>
      <c r="D250" s="235">
        <f t="shared" si="160"/>
        <v>0.25</v>
      </c>
      <c r="E250" s="164">
        <f t="shared" si="161"/>
        <v>3.5</v>
      </c>
      <c r="F250" s="276">
        <f t="shared" si="162"/>
        <v>3.5</v>
      </c>
      <c r="G250" s="969">
        <f t="shared" si="162"/>
        <v>3.5</v>
      </c>
      <c r="H250" s="970">
        <f t="shared" si="162"/>
        <v>3.5</v>
      </c>
      <c r="I250" s="970">
        <f t="shared" si="162"/>
        <v>3.5</v>
      </c>
      <c r="J250" s="970">
        <f t="shared" si="162"/>
        <v>3.5</v>
      </c>
      <c r="K250" s="970">
        <f t="shared" si="162"/>
        <v>3.5</v>
      </c>
      <c r="M250" s="901"/>
      <c r="N250" s="162"/>
      <c r="O250" s="166" t="s">
        <v>817</v>
      </c>
      <c r="P250" s="219" t="s">
        <v>915</v>
      </c>
      <c r="Q250" s="735" t="s">
        <v>916</v>
      </c>
      <c r="R250" s="1152" t="s">
        <v>912</v>
      </c>
      <c r="S250" s="1153"/>
      <c r="T250" s="1153"/>
      <c r="U250" s="1153"/>
      <c r="V250" s="1153"/>
      <c r="W250" s="1154"/>
    </row>
    <row r="251" spans="2:23" ht="12.75">
      <c r="B251" s="166" t="s">
        <v>913</v>
      </c>
      <c r="C251" s="236"/>
      <c r="D251" s="973"/>
      <c r="E251" s="219">
        <f aca="true" t="shared" si="164" ref="E251:K251">SUM(E243:E250)</f>
        <v>49.7</v>
      </c>
      <c r="F251" s="264">
        <f t="shared" si="164"/>
        <v>67.48</v>
      </c>
      <c r="G251" s="722">
        <f t="shared" si="164"/>
        <v>67.48</v>
      </c>
      <c r="H251" s="219">
        <f t="shared" si="164"/>
        <v>67.48</v>
      </c>
      <c r="I251" s="219">
        <f t="shared" si="164"/>
        <v>67.48</v>
      </c>
      <c r="J251" s="219">
        <f t="shared" si="164"/>
        <v>67.48</v>
      </c>
      <c r="K251" s="219">
        <f t="shared" si="164"/>
        <v>67.48</v>
      </c>
      <c r="M251" s="906"/>
      <c r="N251" s="162" t="s">
        <v>504</v>
      </c>
      <c r="O251" s="907">
        <v>190</v>
      </c>
      <c r="P251" s="164">
        <f>60/190</f>
        <v>0.3157894736842105</v>
      </c>
      <c r="Q251" s="869">
        <f>1*P251</f>
        <v>0.3157894736842105</v>
      </c>
      <c r="R251" s="890">
        <f aca="true" t="shared" si="165" ref="R251:W257">$P251*$O251</f>
        <v>60</v>
      </c>
      <c r="S251" s="890">
        <f t="shared" si="165"/>
        <v>60</v>
      </c>
      <c r="T251" s="890">
        <f t="shared" si="165"/>
        <v>60</v>
      </c>
      <c r="U251" s="890">
        <f t="shared" si="165"/>
        <v>60</v>
      </c>
      <c r="V251" s="890">
        <f t="shared" si="165"/>
        <v>60</v>
      </c>
      <c r="W251" s="890">
        <f t="shared" si="165"/>
        <v>60</v>
      </c>
    </row>
    <row r="252" spans="2:23" ht="12.75">
      <c r="B252" s="162"/>
      <c r="C252" s="241"/>
      <c r="D252" s="974"/>
      <c r="E252" s="975"/>
      <c r="F252" s="976"/>
      <c r="G252" s="975"/>
      <c r="H252" s="975"/>
      <c r="I252" s="975"/>
      <c r="J252" s="975"/>
      <c r="K252" s="975"/>
      <c r="N252" s="162" t="s">
        <v>820</v>
      </c>
      <c r="O252" s="163">
        <v>1.8</v>
      </c>
      <c r="P252" s="164">
        <v>5.7</v>
      </c>
      <c r="Q252" s="869">
        <f aca="true" t="shared" si="166" ref="Q252:Q257">1*P252</f>
        <v>5.7</v>
      </c>
      <c r="R252" s="869">
        <f t="shared" si="165"/>
        <v>10.26</v>
      </c>
      <c r="S252" s="869">
        <f t="shared" si="165"/>
        <v>10.26</v>
      </c>
      <c r="T252" s="869">
        <f t="shared" si="165"/>
        <v>10.26</v>
      </c>
      <c r="U252" s="869">
        <f t="shared" si="165"/>
        <v>10.26</v>
      </c>
      <c r="V252" s="869">
        <f t="shared" si="165"/>
        <v>10.26</v>
      </c>
      <c r="W252" s="869">
        <f t="shared" si="165"/>
        <v>10.26</v>
      </c>
    </row>
    <row r="253" spans="2:23" ht="12.75">
      <c r="B253" s="162" t="s">
        <v>334</v>
      </c>
      <c r="C253" s="164">
        <v>2.25</v>
      </c>
      <c r="D253" s="899">
        <v>15</v>
      </c>
      <c r="E253" s="164">
        <f aca="true" t="shared" si="167" ref="E253:K255">$D253*$C253</f>
        <v>33.75</v>
      </c>
      <c r="F253" s="276">
        <f t="shared" si="167"/>
        <v>33.75</v>
      </c>
      <c r="G253" s="969">
        <f t="shared" si="167"/>
        <v>33.75</v>
      </c>
      <c r="H253" s="164">
        <f t="shared" si="167"/>
        <v>33.75</v>
      </c>
      <c r="I253" s="164">
        <f t="shared" si="167"/>
        <v>33.75</v>
      </c>
      <c r="J253" s="164">
        <f t="shared" si="167"/>
        <v>33.75</v>
      </c>
      <c r="K253" s="164">
        <f t="shared" si="167"/>
        <v>33.75</v>
      </c>
      <c r="M253" s="906"/>
      <c r="N253" s="162" t="s">
        <v>505</v>
      </c>
      <c r="O253" s="163">
        <v>0.1</v>
      </c>
      <c r="P253" s="164">
        <v>39.8</v>
      </c>
      <c r="Q253" s="869">
        <f t="shared" si="166"/>
        <v>39.8</v>
      </c>
      <c r="R253" s="869">
        <f t="shared" si="165"/>
        <v>3.98</v>
      </c>
      <c r="S253" s="869">
        <f t="shared" si="165"/>
        <v>3.98</v>
      </c>
      <c r="T253" s="869">
        <f t="shared" si="165"/>
        <v>3.98</v>
      </c>
      <c r="U253" s="869">
        <f t="shared" si="165"/>
        <v>3.98</v>
      </c>
      <c r="V253" s="869">
        <f t="shared" si="165"/>
        <v>3.98</v>
      </c>
      <c r="W253" s="869">
        <f t="shared" si="165"/>
        <v>3.98</v>
      </c>
    </row>
    <row r="254" spans="2:23" ht="12.75">
      <c r="B254" s="162" t="s">
        <v>335</v>
      </c>
      <c r="C254" s="164">
        <v>17</v>
      </c>
      <c r="D254" s="899">
        <v>0.12</v>
      </c>
      <c r="E254" s="164">
        <f t="shared" si="167"/>
        <v>2.04</v>
      </c>
      <c r="F254" s="276">
        <f t="shared" si="167"/>
        <v>2.04</v>
      </c>
      <c r="G254" s="969">
        <f t="shared" si="167"/>
        <v>2.04</v>
      </c>
      <c r="H254" s="164">
        <f t="shared" si="167"/>
        <v>2.04</v>
      </c>
      <c r="I254" s="164">
        <f t="shared" si="167"/>
        <v>2.04</v>
      </c>
      <c r="J254" s="164">
        <f t="shared" si="167"/>
        <v>2.04</v>
      </c>
      <c r="K254" s="164">
        <f t="shared" si="167"/>
        <v>2.04</v>
      </c>
      <c r="M254" s="977"/>
      <c r="N254" s="162" t="s">
        <v>821</v>
      </c>
      <c r="O254" s="163">
        <v>0.06</v>
      </c>
      <c r="P254" s="164">
        <v>12</v>
      </c>
      <c r="Q254" s="869">
        <f t="shared" si="166"/>
        <v>12</v>
      </c>
      <c r="R254" s="869">
        <f t="shared" si="165"/>
        <v>0.72</v>
      </c>
      <c r="S254" s="869">
        <f t="shared" si="165"/>
        <v>0.72</v>
      </c>
      <c r="T254" s="869">
        <f t="shared" si="165"/>
        <v>0.72</v>
      </c>
      <c r="U254" s="869">
        <f t="shared" si="165"/>
        <v>0.72</v>
      </c>
      <c r="V254" s="869">
        <f t="shared" si="165"/>
        <v>0.72</v>
      </c>
      <c r="W254" s="869">
        <f t="shared" si="165"/>
        <v>0.72</v>
      </c>
    </row>
    <row r="255" spans="2:23" ht="12.75">
      <c r="B255" s="162" t="s">
        <v>336</v>
      </c>
      <c r="C255" s="164">
        <v>4.1</v>
      </c>
      <c r="D255" s="978">
        <v>3</v>
      </c>
      <c r="E255" s="164">
        <f t="shared" si="167"/>
        <v>12.299999999999999</v>
      </c>
      <c r="F255" s="276">
        <f t="shared" si="167"/>
        <v>12.299999999999999</v>
      </c>
      <c r="G255" s="969">
        <f t="shared" si="167"/>
        <v>12.299999999999999</v>
      </c>
      <c r="H255" s="164">
        <f t="shared" si="167"/>
        <v>12.299999999999999</v>
      </c>
      <c r="I255" s="164">
        <f t="shared" si="167"/>
        <v>12.299999999999999</v>
      </c>
      <c r="J255" s="164">
        <f t="shared" si="167"/>
        <v>12.299999999999999</v>
      </c>
      <c r="K255" s="164">
        <f t="shared" si="167"/>
        <v>12.299999999999999</v>
      </c>
      <c r="M255" s="191"/>
      <c r="N255" s="33" t="s">
        <v>506</v>
      </c>
      <c r="O255" s="163">
        <v>80</v>
      </c>
      <c r="P255" s="164">
        <v>0.31</v>
      </c>
      <c r="Q255" s="869">
        <f t="shared" si="166"/>
        <v>0.31</v>
      </c>
      <c r="R255" s="869">
        <f t="shared" si="165"/>
        <v>24.8</v>
      </c>
      <c r="S255" s="869">
        <f t="shared" si="165"/>
        <v>24.8</v>
      </c>
      <c r="T255" s="869">
        <f t="shared" si="165"/>
        <v>24.8</v>
      </c>
      <c r="U255" s="869">
        <f t="shared" si="165"/>
        <v>24.8</v>
      </c>
      <c r="V255" s="869">
        <f t="shared" si="165"/>
        <v>24.8</v>
      </c>
      <c r="W255" s="869">
        <f t="shared" si="165"/>
        <v>24.8</v>
      </c>
    </row>
    <row r="256" spans="2:23" ht="12.75">
      <c r="B256" s="166" t="s">
        <v>823</v>
      </c>
      <c r="C256" s="171"/>
      <c r="D256" s="171"/>
      <c r="E256" s="219">
        <f aca="true" t="shared" si="168" ref="E256:K256">SUM(E253:E255)</f>
        <v>48.089999999999996</v>
      </c>
      <c r="F256" s="264">
        <f t="shared" si="168"/>
        <v>48.089999999999996</v>
      </c>
      <c r="G256" s="722">
        <f t="shared" si="168"/>
        <v>48.089999999999996</v>
      </c>
      <c r="H256" s="219">
        <f t="shared" si="168"/>
        <v>48.089999999999996</v>
      </c>
      <c r="I256" s="219">
        <f t="shared" si="168"/>
        <v>48.089999999999996</v>
      </c>
      <c r="J256" s="219">
        <f t="shared" si="168"/>
        <v>48.089999999999996</v>
      </c>
      <c r="K256" s="219">
        <f t="shared" si="168"/>
        <v>48.089999999999996</v>
      </c>
      <c r="M256" s="191"/>
      <c r="N256" s="33" t="s">
        <v>507</v>
      </c>
      <c r="O256" s="163">
        <v>50</v>
      </c>
      <c r="P256" s="164">
        <v>0.21</v>
      </c>
      <c r="Q256" s="869">
        <f t="shared" si="166"/>
        <v>0.21</v>
      </c>
      <c r="R256" s="869">
        <f t="shared" si="165"/>
        <v>10.5</v>
      </c>
      <c r="S256" s="869">
        <f t="shared" si="165"/>
        <v>10.5</v>
      </c>
      <c r="T256" s="869">
        <f t="shared" si="165"/>
        <v>10.5</v>
      </c>
      <c r="U256" s="869">
        <f t="shared" si="165"/>
        <v>10.5</v>
      </c>
      <c r="V256" s="869">
        <f t="shared" si="165"/>
        <v>10.5</v>
      </c>
      <c r="W256" s="869">
        <f t="shared" si="165"/>
        <v>10.5</v>
      </c>
    </row>
    <row r="257" spans="2:23" ht="12.75">
      <c r="B257" s="180"/>
      <c r="C257" s="171"/>
      <c r="D257" s="171"/>
      <c r="E257" s="975"/>
      <c r="F257" s="976"/>
      <c r="G257" s="979"/>
      <c r="H257" s="975"/>
      <c r="I257" s="975"/>
      <c r="J257" s="975"/>
      <c r="K257" s="975"/>
      <c r="M257" s="191"/>
      <c r="N257" s="33" t="s">
        <v>517</v>
      </c>
      <c r="O257" s="324">
        <v>100</v>
      </c>
      <c r="P257" s="164">
        <v>0.51</v>
      </c>
      <c r="Q257" s="869">
        <f t="shared" si="166"/>
        <v>0.51</v>
      </c>
      <c r="R257" s="869">
        <f t="shared" si="165"/>
        <v>51</v>
      </c>
      <c r="S257" s="869">
        <f t="shared" si="165"/>
        <v>51</v>
      </c>
      <c r="T257" s="869">
        <f t="shared" si="165"/>
        <v>51</v>
      </c>
      <c r="U257" s="869">
        <f t="shared" si="165"/>
        <v>51</v>
      </c>
      <c r="V257" s="869">
        <f t="shared" si="165"/>
        <v>51</v>
      </c>
      <c r="W257" s="869">
        <f t="shared" si="165"/>
        <v>51</v>
      </c>
    </row>
    <row r="258" spans="2:23" ht="13.5" thickBot="1">
      <c r="B258" s="166" t="s">
        <v>918</v>
      </c>
      <c r="C258" s="180"/>
      <c r="D258" s="180"/>
      <c r="E258" s="219"/>
      <c r="F258" s="264">
        <f aca="true" t="shared" si="169" ref="F258:K258">F251+F256</f>
        <v>115.57</v>
      </c>
      <c r="G258" s="722">
        <f t="shared" si="169"/>
        <v>115.57</v>
      </c>
      <c r="H258" s="219">
        <f t="shared" si="169"/>
        <v>115.57</v>
      </c>
      <c r="I258" s="219">
        <f t="shared" si="169"/>
        <v>115.57</v>
      </c>
      <c r="J258" s="219">
        <f t="shared" si="169"/>
        <v>115.57</v>
      </c>
      <c r="K258" s="219">
        <f t="shared" si="169"/>
        <v>115.57</v>
      </c>
      <c r="M258" s="191"/>
      <c r="N258" s="791" t="s">
        <v>823</v>
      </c>
      <c r="O258" s="915"/>
      <c r="P258" s="163"/>
      <c r="Q258" s="916">
        <f aca="true" t="shared" si="170" ref="Q258:W258">SUM(Q251:Q257)</f>
        <v>58.845789473684206</v>
      </c>
      <c r="R258" s="916">
        <f t="shared" si="170"/>
        <v>161.26</v>
      </c>
      <c r="S258" s="916">
        <f t="shared" si="170"/>
        <v>161.26</v>
      </c>
      <c r="T258" s="916">
        <f t="shared" si="170"/>
        <v>161.26</v>
      </c>
      <c r="U258" s="916">
        <f t="shared" si="170"/>
        <v>161.26</v>
      </c>
      <c r="V258" s="916">
        <f t="shared" si="170"/>
        <v>161.26</v>
      </c>
      <c r="W258" s="916">
        <f t="shared" si="170"/>
        <v>161.26</v>
      </c>
    </row>
    <row r="259" spans="2:23" ht="13.5" thickBot="1">
      <c r="B259" s="166" t="s">
        <v>337</v>
      </c>
      <c r="C259" s="171"/>
      <c r="D259" s="171"/>
      <c r="E259" s="975"/>
      <c r="F259" s="1135" t="s">
        <v>912</v>
      </c>
      <c r="G259" s="1136"/>
      <c r="H259" s="1136"/>
      <c r="I259" s="1136"/>
      <c r="J259" s="1136"/>
      <c r="K259" s="1137"/>
      <c r="M259" s="191"/>
      <c r="N259" s="791" t="s">
        <v>918</v>
      </c>
      <c r="O259" s="180"/>
      <c r="P259" s="180"/>
      <c r="R259" s="923">
        <f aca="true" t="shared" si="171" ref="R259:W259">R248+R258</f>
        <v>220.76</v>
      </c>
      <c r="S259" s="923">
        <f t="shared" si="171"/>
        <v>220.76</v>
      </c>
      <c r="T259" s="923">
        <f t="shared" si="171"/>
        <v>220.76</v>
      </c>
      <c r="U259" s="923">
        <f t="shared" si="171"/>
        <v>220.76</v>
      </c>
      <c r="V259" s="923">
        <f t="shared" si="171"/>
        <v>220.76</v>
      </c>
      <c r="W259" s="923">
        <f t="shared" si="171"/>
        <v>220.76</v>
      </c>
    </row>
    <row r="260" spans="2:21" ht="12.75">
      <c r="B260" s="162" t="s">
        <v>338</v>
      </c>
      <c r="C260" s="980">
        <v>0.1</v>
      </c>
      <c r="D260" s="167">
        <f>C260*C238*G235</f>
        <v>5.6000000000000005</v>
      </c>
      <c r="E260" s="981">
        <f>D260*1</f>
        <v>5.6000000000000005</v>
      </c>
      <c r="F260" s="276">
        <f aca="true" t="shared" si="172" ref="F260:K260">$D260*F237/1000</f>
        <v>19.600000000000005</v>
      </c>
      <c r="G260" s="969">
        <f t="shared" si="172"/>
        <v>21.280000000000005</v>
      </c>
      <c r="H260" s="164">
        <f t="shared" si="172"/>
        <v>22.400000000000002</v>
      </c>
      <c r="I260" s="164">
        <f t="shared" si="172"/>
        <v>23.800000000000004</v>
      </c>
      <c r="J260" s="164">
        <f t="shared" si="172"/>
        <v>26.600000000000005</v>
      </c>
      <c r="K260" s="164">
        <f t="shared" si="172"/>
        <v>20.1152</v>
      </c>
      <c r="M260" s="191"/>
      <c r="N260" s="180"/>
      <c r="O260" s="171"/>
      <c r="P260" s="171"/>
      <c r="Q260" s="898"/>
      <c r="R260" s="898"/>
      <c r="S260" s="898"/>
      <c r="T260" s="898"/>
      <c r="U260" s="898"/>
    </row>
    <row r="261" spans="2:21" ht="12.75">
      <c r="B261" s="162" t="s">
        <v>339</v>
      </c>
      <c r="C261" s="980">
        <v>1</v>
      </c>
      <c r="D261" s="167">
        <v>15</v>
      </c>
      <c r="E261" s="981">
        <f>D261*1</f>
        <v>15</v>
      </c>
      <c r="F261" s="276">
        <f aca="true" t="shared" si="173" ref="F261:K261">$D261*F237/1000</f>
        <v>52.5</v>
      </c>
      <c r="G261" s="969">
        <f t="shared" si="173"/>
        <v>57</v>
      </c>
      <c r="H261" s="164">
        <f t="shared" si="173"/>
        <v>60</v>
      </c>
      <c r="I261" s="164">
        <f t="shared" si="173"/>
        <v>63.75</v>
      </c>
      <c r="J261" s="164">
        <f t="shared" si="173"/>
        <v>71.25</v>
      </c>
      <c r="K261" s="164">
        <f t="shared" si="173"/>
        <v>53.88</v>
      </c>
      <c r="M261" s="191"/>
      <c r="N261" s="791" t="s">
        <v>337</v>
      </c>
      <c r="O261" s="171"/>
      <c r="P261" s="171"/>
      <c r="Q261" s="898"/>
      <c r="R261" s="898"/>
      <c r="S261" s="898"/>
      <c r="T261" s="898"/>
      <c r="U261" s="898"/>
    </row>
    <row r="262" spans="2:23" ht="12.75">
      <c r="B262" s="176" t="s">
        <v>340</v>
      </c>
      <c r="C262" s="982"/>
      <c r="D262" s="167"/>
      <c r="E262" s="975"/>
      <c r="F262" s="976"/>
      <c r="G262" s="979"/>
      <c r="H262" s="975"/>
      <c r="I262" s="975"/>
      <c r="J262" s="975"/>
      <c r="K262" s="975"/>
      <c r="M262" s="191"/>
      <c r="N262" s="162" t="s">
        <v>338</v>
      </c>
      <c r="O262" s="924">
        <v>0.1</v>
      </c>
      <c r="P262" s="167">
        <f>O262*O237*T234</f>
        <v>12.6</v>
      </c>
      <c r="Q262" s="925">
        <f>1*P262</f>
        <v>12.6</v>
      </c>
      <c r="R262" s="869">
        <f aca="true" t="shared" si="174" ref="R262:W262">$P262*R236/1000</f>
        <v>50.4</v>
      </c>
      <c r="S262" s="869">
        <f t="shared" si="174"/>
        <v>53.55</v>
      </c>
      <c r="T262" s="869">
        <f t="shared" si="174"/>
        <v>56.7</v>
      </c>
      <c r="U262" s="869">
        <f t="shared" si="174"/>
        <v>59.85</v>
      </c>
      <c r="V262" s="869">
        <f t="shared" si="174"/>
        <v>63</v>
      </c>
      <c r="W262" s="869">
        <f t="shared" si="174"/>
        <v>58.690799999999996</v>
      </c>
    </row>
    <row r="263" spans="2:23" ht="12.75">
      <c r="B263" s="174" t="s">
        <v>520</v>
      </c>
      <c r="C263" s="943">
        <v>0.00121</v>
      </c>
      <c r="D263" s="167">
        <f>C263*C238*G235</f>
        <v>0.06776</v>
      </c>
      <c r="E263" s="981">
        <f>D263*1</f>
        <v>0.06776</v>
      </c>
      <c r="F263" s="276">
        <f aca="true" t="shared" si="175" ref="F263:K263">$D263*F237/1000</f>
        <v>0.23716</v>
      </c>
      <c r="G263" s="969">
        <f t="shared" si="175"/>
        <v>0.257488</v>
      </c>
      <c r="H263" s="164">
        <f t="shared" si="175"/>
        <v>0.27104</v>
      </c>
      <c r="I263" s="164">
        <f t="shared" si="175"/>
        <v>0.28798</v>
      </c>
      <c r="J263" s="164">
        <f t="shared" si="175"/>
        <v>0.32186000000000003</v>
      </c>
      <c r="K263" s="164">
        <f t="shared" si="175"/>
        <v>0.24339392</v>
      </c>
      <c r="M263" s="191"/>
      <c r="N263" s="162" t="s">
        <v>508</v>
      </c>
      <c r="O263" s="924">
        <v>1</v>
      </c>
      <c r="P263" s="167">
        <v>12</v>
      </c>
      <c r="Q263" s="925">
        <f>1*P263</f>
        <v>12</v>
      </c>
      <c r="R263" s="869">
        <f aca="true" t="shared" si="176" ref="R263:W263">$P263*R236/1000</f>
        <v>48</v>
      </c>
      <c r="S263" s="869">
        <f t="shared" si="176"/>
        <v>51</v>
      </c>
      <c r="T263" s="869">
        <f t="shared" si="176"/>
        <v>54</v>
      </c>
      <c r="U263" s="869">
        <f t="shared" si="176"/>
        <v>57</v>
      </c>
      <c r="V263" s="869">
        <f t="shared" si="176"/>
        <v>60</v>
      </c>
      <c r="W263" s="869">
        <f t="shared" si="176"/>
        <v>55.896</v>
      </c>
    </row>
    <row r="264" spans="2:23" ht="12.75">
      <c r="B264" s="174" t="s">
        <v>341</v>
      </c>
      <c r="C264" s="980">
        <v>1</v>
      </c>
      <c r="D264" s="167">
        <v>0.25</v>
      </c>
      <c r="E264" s="981">
        <f>D264*1</f>
        <v>0.25</v>
      </c>
      <c r="F264" s="276">
        <f aca="true" t="shared" si="177" ref="F264:K264">$D264*F237/1000</f>
        <v>0.875</v>
      </c>
      <c r="G264" s="969">
        <f t="shared" si="177"/>
        <v>0.95</v>
      </c>
      <c r="H264" s="164">
        <f t="shared" si="177"/>
        <v>1</v>
      </c>
      <c r="I264" s="164">
        <f t="shared" si="177"/>
        <v>1.0625</v>
      </c>
      <c r="J264" s="164">
        <f t="shared" si="177"/>
        <v>1.1875</v>
      </c>
      <c r="K264" s="164">
        <f t="shared" si="177"/>
        <v>0.898</v>
      </c>
      <c r="M264" s="191"/>
      <c r="N264" s="174" t="s">
        <v>520</v>
      </c>
      <c r="O264" s="924">
        <v>0.00121</v>
      </c>
      <c r="P264" s="167">
        <f>O264*O237*T234</f>
        <v>0.15246</v>
      </c>
      <c r="Q264" s="925">
        <f>1*P264</f>
        <v>0.15246</v>
      </c>
      <c r="R264" s="869">
        <f aca="true" t="shared" si="178" ref="R264:W264">$P264*R236/1000</f>
        <v>0.60984</v>
      </c>
      <c r="S264" s="869">
        <f t="shared" si="178"/>
        <v>0.6479550000000001</v>
      </c>
      <c r="T264" s="869">
        <f t="shared" si="178"/>
        <v>0.6860700000000001</v>
      </c>
      <c r="U264" s="869">
        <f t="shared" si="178"/>
        <v>0.7241850000000001</v>
      </c>
      <c r="V264" s="869">
        <f t="shared" si="178"/>
        <v>0.7623000000000001</v>
      </c>
      <c r="W264" s="869">
        <f t="shared" si="178"/>
        <v>0.71015868</v>
      </c>
    </row>
    <row r="265" spans="2:23" ht="12.75">
      <c r="B265" s="166" t="s">
        <v>829</v>
      </c>
      <c r="C265" s="983"/>
      <c r="D265" s="739">
        <f aca="true" t="shared" si="179" ref="D265:K265">SUM(D260:D264)</f>
        <v>20.91776</v>
      </c>
      <c r="E265" s="984">
        <f t="shared" si="179"/>
        <v>20.91776</v>
      </c>
      <c r="F265" s="264">
        <f t="shared" si="179"/>
        <v>73.21216000000001</v>
      </c>
      <c r="G265" s="722">
        <f t="shared" si="179"/>
        <v>79.487488</v>
      </c>
      <c r="H265" s="219">
        <f t="shared" si="179"/>
        <v>83.67104</v>
      </c>
      <c r="I265" s="219">
        <f t="shared" si="179"/>
        <v>88.90048000000002</v>
      </c>
      <c r="J265" s="219">
        <f t="shared" si="179"/>
        <v>99.35936000000001</v>
      </c>
      <c r="K265" s="219">
        <f t="shared" si="179"/>
        <v>75.13659392000001</v>
      </c>
      <c r="M265" s="191"/>
      <c r="N265" s="791" t="s">
        <v>829</v>
      </c>
      <c r="O265" s="926">
        <f aca="true" t="shared" si="180" ref="O265:W265">SUM(O262:O264)</f>
        <v>1.10121</v>
      </c>
      <c r="P265" s="167">
        <f t="shared" si="180"/>
        <v>24.752460000000003</v>
      </c>
      <c r="Q265" s="167">
        <f t="shared" si="180"/>
        <v>24.752460000000003</v>
      </c>
      <c r="R265" s="923">
        <f t="shared" si="180"/>
        <v>99.00984000000001</v>
      </c>
      <c r="S265" s="923">
        <f t="shared" si="180"/>
        <v>105.197955</v>
      </c>
      <c r="T265" s="923">
        <f t="shared" si="180"/>
        <v>111.38607</v>
      </c>
      <c r="U265" s="923">
        <f t="shared" si="180"/>
        <v>117.574185</v>
      </c>
      <c r="V265" s="923">
        <f t="shared" si="180"/>
        <v>123.7623</v>
      </c>
      <c r="W265" s="923">
        <f t="shared" si="180"/>
        <v>115.29695868</v>
      </c>
    </row>
    <row r="266" spans="2:23" ht="15">
      <c r="B266" s="176" t="s">
        <v>342</v>
      </c>
      <c r="C266" s="256"/>
      <c r="D266" s="256"/>
      <c r="E266" s="276"/>
      <c r="F266" s="264">
        <f aca="true" t="shared" si="181" ref="F266:K266">F265+F258</f>
        <v>188.78216</v>
      </c>
      <c r="G266" s="722">
        <f t="shared" si="181"/>
        <v>195.05748799999998</v>
      </c>
      <c r="H266" s="219">
        <f t="shared" si="181"/>
        <v>199.24104</v>
      </c>
      <c r="I266" s="219">
        <f t="shared" si="181"/>
        <v>204.47048</v>
      </c>
      <c r="J266" s="219">
        <f t="shared" si="181"/>
        <v>214.92936</v>
      </c>
      <c r="K266" s="219">
        <f t="shared" si="181"/>
        <v>190.70659392</v>
      </c>
      <c r="M266" s="191"/>
      <c r="N266" s="176" t="s">
        <v>342</v>
      </c>
      <c r="O266" s="256"/>
      <c r="P266" s="256"/>
      <c r="R266" s="985">
        <f aca="true" t="shared" si="182" ref="R266:W266">R265+R259</f>
        <v>319.76984</v>
      </c>
      <c r="S266" s="985">
        <f t="shared" si="182"/>
        <v>325.95795499999997</v>
      </c>
      <c r="T266" s="985">
        <f t="shared" si="182"/>
        <v>332.14607</v>
      </c>
      <c r="U266" s="985">
        <f t="shared" si="182"/>
        <v>338.334185</v>
      </c>
      <c r="V266" s="985">
        <f t="shared" si="182"/>
        <v>344.5223</v>
      </c>
      <c r="W266" s="985">
        <f t="shared" si="182"/>
        <v>336.05695868</v>
      </c>
    </row>
    <row r="267" spans="2:23" ht="15">
      <c r="B267" s="176" t="s">
        <v>922</v>
      </c>
      <c r="C267" s="256"/>
      <c r="D267" s="256"/>
      <c r="E267" s="219"/>
      <c r="F267" s="264">
        <f aca="true" t="shared" si="183" ref="F267:K267">F239-F266</f>
        <v>7.217839999999995</v>
      </c>
      <c r="G267" s="722">
        <f t="shared" si="183"/>
        <v>17.742512000000033</v>
      </c>
      <c r="H267" s="219">
        <f t="shared" si="183"/>
        <v>24.758960000000002</v>
      </c>
      <c r="I267" s="219">
        <f t="shared" si="183"/>
        <v>33.52951999999999</v>
      </c>
      <c r="J267" s="219">
        <f t="shared" si="183"/>
        <v>51.07064</v>
      </c>
      <c r="K267" s="219">
        <f t="shared" si="183"/>
        <v>10.445406079999998</v>
      </c>
      <c r="M267" s="191"/>
      <c r="N267" s="933" t="s">
        <v>922</v>
      </c>
      <c r="O267" s="256"/>
      <c r="P267" s="256"/>
      <c r="R267" s="923">
        <f aca="true" t="shared" si="184" ref="R267:W267">R238-R266</f>
        <v>184.23016</v>
      </c>
      <c r="S267" s="923">
        <f t="shared" si="184"/>
        <v>209.54204500000003</v>
      </c>
      <c r="T267" s="923">
        <f t="shared" si="184"/>
        <v>234.85393</v>
      </c>
      <c r="U267" s="923">
        <f t="shared" si="184"/>
        <v>260.165815</v>
      </c>
      <c r="V267" s="923">
        <f t="shared" si="184"/>
        <v>285.4777</v>
      </c>
      <c r="W267" s="923">
        <f t="shared" si="184"/>
        <v>250.85104132000004</v>
      </c>
    </row>
    <row r="268" spans="2:21" ht="13.5" thickBot="1">
      <c r="B268" s="201" t="s">
        <v>923</v>
      </c>
      <c r="C268" s="771">
        <f>F258/(C238*G235-D265)*1000</f>
        <v>3294.2594315528313</v>
      </c>
      <c r="D268" s="986"/>
      <c r="E268" s="987"/>
      <c r="F268" s="988"/>
      <c r="G268" s="989"/>
      <c r="H268" s="180"/>
      <c r="I268" s="180"/>
      <c r="J268" s="180"/>
      <c r="K268" s="180"/>
      <c r="M268" s="191"/>
      <c r="N268" s="990" t="s">
        <v>923</v>
      </c>
      <c r="O268" s="991">
        <f>R259/(O237*T234-Q265)*1000</f>
        <v>2180.398654624102</v>
      </c>
      <c r="P268" s="986"/>
      <c r="Q268" s="987"/>
      <c r="R268" s="992"/>
      <c r="S268" s="992"/>
      <c r="T268" s="180"/>
      <c r="U268" s="180"/>
    </row>
    <row r="269" spans="2:23" ht="13.5" thickBot="1">
      <c r="B269" s="260" t="s">
        <v>924</v>
      </c>
      <c r="C269" s="261"/>
      <c r="D269" s="261"/>
      <c r="E269" s="938"/>
      <c r="F269" s="939">
        <f aca="true" t="shared" si="185" ref="F269:K269">(F258+$D$261*F237/1000+$D$264*F237/1000)/((F237/1000-F237/1000*($C$263+$C$260)))/$G$235</f>
        <v>67.1319218059836</v>
      </c>
      <c r="G269" s="939">
        <f t="shared" si="185"/>
        <v>63.50643350328892</v>
      </c>
      <c r="H269" s="939">
        <f t="shared" si="185"/>
        <v>61.39156532671703</v>
      </c>
      <c r="I269" s="939">
        <f t="shared" si="185"/>
        <v>59.02788912937197</v>
      </c>
      <c r="J269" s="939">
        <f t="shared" si="185"/>
        <v>55.04696079700134</v>
      </c>
      <c r="K269" s="939">
        <f t="shared" si="185"/>
        <v>65.9557240418577</v>
      </c>
      <c r="M269" s="191"/>
      <c r="N269" s="993" t="s">
        <v>924</v>
      </c>
      <c r="O269" s="553"/>
      <c r="P269" s="605"/>
      <c r="Q269" s="994"/>
      <c r="R269" s="995">
        <f aca="true" t="shared" si="186" ref="R269:W269">(R259+$P$263*R236/1000)/(R236/1000-R236/1000*($O$210+$O$212))/$T$234</f>
        <v>83.06228991817393</v>
      </c>
      <c r="S269" s="995">
        <f t="shared" si="186"/>
        <v>79.04890576560919</v>
      </c>
      <c r="T269" s="995">
        <f t="shared" si="186"/>
        <v>75.48145318555164</v>
      </c>
      <c r="U269" s="995">
        <f t="shared" si="186"/>
        <v>72.28952192971069</v>
      </c>
      <c r="V269" s="995">
        <f t="shared" si="186"/>
        <v>69.41678379945384</v>
      </c>
      <c r="W269" s="995">
        <f t="shared" si="186"/>
        <v>73.42430899705133</v>
      </c>
    </row>
    <row r="270" ht="12.75">
      <c r="N270" s="157"/>
    </row>
    <row r="271" spans="2:14" ht="12.75">
      <c r="B271" s="776" t="s">
        <v>521</v>
      </c>
      <c r="N271" s="776" t="s">
        <v>521</v>
      </c>
    </row>
    <row r="273" ht="12.75">
      <c r="M273" s="191"/>
    </row>
    <row r="277" spans="2:21" ht="15">
      <c r="B277" s="387"/>
      <c r="C277" s="387"/>
      <c r="D277" s="387"/>
      <c r="E277" s="180"/>
      <c r="F277" s="180"/>
      <c r="G277" s="180"/>
      <c r="H277" s="180"/>
      <c r="I277" s="180"/>
      <c r="M277" s="191"/>
      <c r="N277" s="180"/>
      <c r="O277" s="180"/>
      <c r="P277" s="180"/>
      <c r="Q277" s="180"/>
      <c r="R277" s="180"/>
      <c r="S277" s="180"/>
      <c r="T277" s="180"/>
      <c r="U277" s="180"/>
    </row>
    <row r="278" spans="1:13" ht="12.75">
      <c r="A278" s="191"/>
      <c r="M278" s="191"/>
    </row>
    <row r="279" spans="1:13" ht="12.75">
      <c r="A279" s="191"/>
      <c r="M279" s="191"/>
    </row>
    <row r="280" spans="1:13" ht="12.75">
      <c r="A280" s="191"/>
      <c r="M280" s="191"/>
    </row>
    <row r="281" spans="1:13" ht="12.75">
      <c r="A281" s="191"/>
      <c r="M281" s="191"/>
    </row>
    <row r="282" spans="1:13" ht="12.75">
      <c r="A282" s="191"/>
      <c r="M282" s="191"/>
    </row>
    <row r="283" spans="1:13" ht="12.75">
      <c r="A283" s="191"/>
      <c r="M283" s="191"/>
    </row>
    <row r="284" spans="1:13" ht="12.75">
      <c r="A284" s="191"/>
      <c r="M284" s="191"/>
    </row>
    <row r="285" spans="1:13" ht="12.75">
      <c r="A285" s="191"/>
      <c r="M285" s="191"/>
    </row>
    <row r="286" spans="1:13" ht="12.75">
      <c r="A286" s="191"/>
      <c r="M286" s="191"/>
    </row>
    <row r="287" spans="1:13" ht="12.75">
      <c r="A287" s="191"/>
      <c r="M287" s="191"/>
    </row>
    <row r="288" spans="1:13" ht="12.75">
      <c r="A288" s="191"/>
      <c r="M288" s="191"/>
    </row>
    <row r="289" spans="1:13" ht="12.75">
      <c r="A289" s="191"/>
      <c r="M289" s="191"/>
    </row>
    <row r="290" spans="1:13" ht="12.75">
      <c r="A290" s="191"/>
      <c r="M290" s="191"/>
    </row>
    <row r="291" spans="1:13" ht="12.75">
      <c r="A291" s="191"/>
      <c r="M291" s="191"/>
    </row>
    <row r="292" spans="1:13" ht="12.75">
      <c r="A292" s="191"/>
      <c r="M292" s="191"/>
    </row>
    <row r="293" spans="1:13" ht="12.75">
      <c r="A293" s="191"/>
      <c r="M293" s="191"/>
    </row>
    <row r="335" spans="1:13" ht="12.75">
      <c r="A335" s="191"/>
      <c r="M335" s="191"/>
    </row>
    <row r="336" spans="1:13" ht="12.75">
      <c r="A336" s="191"/>
      <c r="M336" s="191"/>
    </row>
    <row r="337" spans="1:13" ht="12.75">
      <c r="A337" s="191"/>
      <c r="M337" s="191"/>
    </row>
    <row r="338" spans="1:13" ht="12.75">
      <c r="A338" s="191"/>
      <c r="M338" s="191"/>
    </row>
    <row r="339" spans="1:13" ht="12.75">
      <c r="A339" s="191"/>
      <c r="M339" s="191"/>
    </row>
    <row r="340" spans="1:13" ht="12.75">
      <c r="A340" s="191"/>
      <c r="M340" s="191"/>
    </row>
    <row r="341" spans="1:13" ht="12.75">
      <c r="A341" s="191"/>
      <c r="M341" s="191"/>
    </row>
    <row r="342" spans="1:13" ht="12.75">
      <c r="A342" s="191"/>
      <c r="M342" s="191"/>
    </row>
    <row r="343" spans="1:13" ht="12.75">
      <c r="A343" s="191"/>
      <c r="M343" s="191"/>
    </row>
    <row r="344" spans="1:13" ht="12.75">
      <c r="A344" s="191"/>
      <c r="M344" s="191"/>
    </row>
    <row r="345" spans="1:13" ht="12.75">
      <c r="A345" s="191"/>
      <c r="M345" s="191"/>
    </row>
    <row r="346" spans="1:13" ht="12.75">
      <c r="A346" s="191"/>
      <c r="M346" s="191"/>
    </row>
    <row r="347" spans="1:13" ht="12.75">
      <c r="A347" s="191"/>
      <c r="M347" s="191"/>
    </row>
    <row r="348" spans="1:13" ht="12.75">
      <c r="A348" s="191"/>
      <c r="M348" s="191"/>
    </row>
    <row r="349" spans="1:13" ht="12.75">
      <c r="A349" s="191"/>
      <c r="M349" s="191"/>
    </row>
    <row r="350" spans="1:13" ht="12.75">
      <c r="A350" s="191"/>
      <c r="M350" s="191"/>
    </row>
    <row r="351" spans="1:13" ht="12.75">
      <c r="A351" s="191"/>
      <c r="M351" s="191"/>
    </row>
    <row r="352" spans="1:13" ht="12.75">
      <c r="A352" s="191"/>
      <c r="M352" s="191"/>
    </row>
    <row r="353" spans="1:13" ht="12.75">
      <c r="A353" s="191"/>
      <c r="M353" s="191"/>
    </row>
    <row r="354" spans="1:13" ht="12.75">
      <c r="A354" s="191"/>
      <c r="M354" s="191"/>
    </row>
    <row r="355" spans="1:13" ht="12.75">
      <c r="A355" s="191"/>
      <c r="M355" s="191"/>
    </row>
    <row r="356" spans="1:13" ht="12.75">
      <c r="A356" s="191"/>
      <c r="M356" s="191"/>
    </row>
    <row r="357" spans="1:13" ht="12.75">
      <c r="A357" s="191"/>
      <c r="M357" s="191"/>
    </row>
    <row r="358" spans="1:13" ht="12.75">
      <c r="A358" s="191"/>
      <c r="M358" s="191"/>
    </row>
    <row r="359" spans="1:13" ht="12.75">
      <c r="A359" s="191"/>
      <c r="M359" s="191"/>
    </row>
    <row r="360" spans="1:13" ht="12.75">
      <c r="A360" s="191"/>
      <c r="M360" s="191"/>
    </row>
    <row r="361" spans="1:13" ht="12.75">
      <c r="A361" s="191"/>
      <c r="M361" s="191"/>
    </row>
    <row r="362" spans="1:13" ht="12.75">
      <c r="A362" s="191"/>
      <c r="M362" s="191"/>
    </row>
    <row r="363" spans="1:13" ht="12.75">
      <c r="A363" s="191"/>
      <c r="M363" s="191"/>
    </row>
    <row r="364" spans="1:13" ht="12.75">
      <c r="A364" s="191"/>
      <c r="M364" s="191"/>
    </row>
    <row r="365" spans="1:13" ht="12.75">
      <c r="A365" s="191"/>
      <c r="M365" s="191"/>
    </row>
    <row r="366" spans="1:13" ht="12.75">
      <c r="A366" s="191"/>
      <c r="M366" s="191"/>
    </row>
    <row r="367" spans="1:13" ht="12.75">
      <c r="A367" s="191"/>
      <c r="M367" s="191"/>
    </row>
    <row r="368" spans="1:13" ht="12.75">
      <c r="A368" s="191"/>
      <c r="M368" s="191"/>
    </row>
    <row r="369" spans="1:13" ht="12.75">
      <c r="A369" s="191"/>
      <c r="M369" s="191"/>
    </row>
    <row r="370" spans="1:13" ht="12.75">
      <c r="A370" s="191"/>
      <c r="M370" s="191"/>
    </row>
    <row r="371" spans="1:13" ht="12.75">
      <c r="A371" s="191"/>
      <c r="M371" s="191"/>
    </row>
    <row r="372" spans="1:13" ht="12.75">
      <c r="A372" s="191"/>
      <c r="M372" s="191"/>
    </row>
    <row r="373" spans="1:13" ht="12.75">
      <c r="A373" s="191"/>
      <c r="M373" s="191"/>
    </row>
    <row r="374" spans="1:13" ht="12.75">
      <c r="A374" s="191"/>
      <c r="M374" s="191"/>
    </row>
    <row r="375" spans="1:13" ht="12.75">
      <c r="A375" s="191"/>
      <c r="M375" s="191"/>
    </row>
    <row r="376" spans="1:13" ht="12.75">
      <c r="A376" s="191"/>
      <c r="M376" s="191"/>
    </row>
    <row r="377" spans="1:13" ht="12.75">
      <c r="A377" s="191"/>
      <c r="M377" s="191"/>
    </row>
    <row r="378" spans="1:13" ht="12.75">
      <c r="A378" s="191"/>
      <c r="M378" s="191"/>
    </row>
    <row r="379" spans="1:13" ht="12.75">
      <c r="A379" s="191"/>
      <c r="M379" s="191"/>
    </row>
    <row r="380" spans="1:13" ht="12.75">
      <c r="A380" s="191"/>
      <c r="M380" s="191"/>
    </row>
    <row r="381" spans="1:13" ht="12.75">
      <c r="A381" s="191"/>
      <c r="M381" s="191"/>
    </row>
    <row r="382" spans="1:13" ht="12.75">
      <c r="A382" s="191"/>
      <c r="M382" s="191"/>
    </row>
    <row r="383" spans="1:13" ht="12.75">
      <c r="A383" s="191"/>
      <c r="M383" s="191"/>
    </row>
    <row r="384" spans="1:13" ht="12.75">
      <c r="A384" s="191"/>
      <c r="M384" s="191"/>
    </row>
    <row r="385" spans="1:13" ht="12.75">
      <c r="A385" s="191"/>
      <c r="M385" s="191"/>
    </row>
    <row r="386" spans="1:13" ht="12.75">
      <c r="A386" s="191"/>
      <c r="M386" s="191"/>
    </row>
    <row r="387" spans="1:13" ht="12.75">
      <c r="A387" s="191"/>
      <c r="M387" s="191"/>
    </row>
    <row r="388" spans="1:13" ht="12.75">
      <c r="A388" s="191"/>
      <c r="M388" s="191"/>
    </row>
    <row r="389" spans="1:13" ht="12.75">
      <c r="A389" s="191"/>
      <c r="M389" s="191"/>
    </row>
    <row r="390" spans="1:13" ht="12.75">
      <c r="A390" s="191"/>
      <c r="M390" s="191"/>
    </row>
    <row r="391" spans="1:13" ht="12.75">
      <c r="A391" s="191"/>
      <c r="M391" s="191"/>
    </row>
    <row r="392" spans="1:13" ht="12.75">
      <c r="A392" s="191"/>
      <c r="M392" s="191"/>
    </row>
    <row r="393" spans="1:13" ht="12.75">
      <c r="A393" s="191"/>
      <c r="M393" s="191"/>
    </row>
    <row r="394" spans="1:13" ht="12.75">
      <c r="A394" s="191"/>
      <c r="M394" s="191"/>
    </row>
    <row r="395" spans="1:13" ht="12.75">
      <c r="A395" s="191"/>
      <c r="M395" s="191"/>
    </row>
    <row r="396" spans="1:13" ht="12.75">
      <c r="A396" s="191"/>
      <c r="M396" s="191"/>
    </row>
    <row r="397" spans="1:13" ht="12.75">
      <c r="A397" s="191"/>
      <c r="M397" s="191"/>
    </row>
    <row r="398" spans="1:13" ht="12.75">
      <c r="A398" s="191"/>
      <c r="M398" s="191"/>
    </row>
    <row r="399" spans="1:13" ht="12.75">
      <c r="A399" s="191"/>
      <c r="M399" s="191"/>
    </row>
    <row r="400" spans="1:13" ht="12.75">
      <c r="A400" s="191"/>
      <c r="M400" s="191"/>
    </row>
    <row r="401" spans="1:13" ht="12.75">
      <c r="A401" s="191"/>
      <c r="M401" s="191"/>
    </row>
    <row r="402" spans="1:13" ht="12.75">
      <c r="A402" s="191"/>
      <c r="M402" s="191"/>
    </row>
    <row r="403" spans="1:13" ht="12.75">
      <c r="A403" s="191"/>
      <c r="M403" s="191"/>
    </row>
    <row r="404" spans="1:13" ht="12.75">
      <c r="A404" s="191"/>
      <c r="M404" s="191"/>
    </row>
    <row r="405" spans="1:13" ht="12.75">
      <c r="A405" s="191"/>
      <c r="M405" s="191"/>
    </row>
    <row r="406" spans="1:13" ht="12.75">
      <c r="A406" s="191"/>
      <c r="M406" s="191"/>
    </row>
    <row r="407" spans="1:13" ht="12.75">
      <c r="A407" s="191"/>
      <c r="M407" s="191"/>
    </row>
    <row r="408" spans="1:13" ht="12.75">
      <c r="A408" s="191"/>
      <c r="M408" s="191"/>
    </row>
    <row r="409" spans="1:13" ht="12.75">
      <c r="A409" s="191"/>
      <c r="M409" s="191"/>
    </row>
    <row r="410" spans="1:13" ht="12.75">
      <c r="A410" s="191"/>
      <c r="M410" s="191"/>
    </row>
    <row r="411" spans="1:13" ht="12.75">
      <c r="A411" s="191"/>
      <c r="M411" s="191"/>
    </row>
    <row r="412" spans="1:13" ht="12.75">
      <c r="A412" s="191"/>
      <c r="M412" s="191"/>
    </row>
    <row r="413" spans="1:13" ht="12.75">
      <c r="A413" s="191"/>
      <c r="M413" s="191"/>
    </row>
    <row r="414" spans="1:13" ht="12.75">
      <c r="A414" s="191"/>
      <c r="M414" s="191"/>
    </row>
    <row r="415" spans="1:13" ht="12.75">
      <c r="A415" s="191"/>
      <c r="M415" s="191"/>
    </row>
    <row r="416" spans="1:13" ht="12.75">
      <c r="A416" s="191"/>
      <c r="M416" s="191"/>
    </row>
    <row r="417" spans="1:13" ht="12.75">
      <c r="A417" s="191"/>
      <c r="M417" s="191"/>
    </row>
    <row r="418" spans="1:13" ht="12.75">
      <c r="A418" s="191"/>
      <c r="M418" s="191"/>
    </row>
    <row r="419" spans="1:13" ht="12.75">
      <c r="A419" s="191"/>
      <c r="M419" s="191"/>
    </row>
    <row r="420" spans="1:13" ht="12.75">
      <c r="A420" s="191"/>
      <c r="M420" s="191"/>
    </row>
    <row r="421" spans="1:13" ht="12.75">
      <c r="A421" s="191"/>
      <c r="M421" s="191"/>
    </row>
    <row r="422" spans="1:13" ht="12.75">
      <c r="A422" s="191"/>
      <c r="M422" s="191"/>
    </row>
    <row r="423" spans="1:13" ht="12.75">
      <c r="A423" s="191"/>
      <c r="M423" s="191"/>
    </row>
    <row r="424" spans="1:13" ht="12.75">
      <c r="A424" s="191"/>
      <c r="M424" s="191"/>
    </row>
    <row r="425" spans="1:13" ht="12.75">
      <c r="A425" s="191"/>
      <c r="M425" s="191"/>
    </row>
    <row r="426" spans="1:13" ht="12.75">
      <c r="A426" s="191"/>
      <c r="M426" s="191"/>
    </row>
    <row r="427" spans="1:13" ht="12.75">
      <c r="A427" s="191"/>
      <c r="M427" s="191"/>
    </row>
    <row r="428" spans="1:13" ht="12.75">
      <c r="A428" s="191"/>
      <c r="M428" s="191"/>
    </row>
    <row r="429" spans="1:13" ht="12.75">
      <c r="A429" s="191"/>
      <c r="M429" s="191"/>
    </row>
    <row r="430" spans="1:13" ht="12.75">
      <c r="A430" s="191"/>
      <c r="M430" s="191"/>
    </row>
    <row r="431" spans="1:13" ht="12.75">
      <c r="A431" s="191"/>
      <c r="M431" s="191"/>
    </row>
    <row r="432" spans="1:13" ht="12.75">
      <c r="A432" s="191"/>
      <c r="M432" s="191"/>
    </row>
    <row r="433" spans="1:13" ht="12.75">
      <c r="A433" s="191"/>
      <c r="M433" s="191"/>
    </row>
    <row r="434" spans="1:13" ht="12.75">
      <c r="A434" s="191"/>
      <c r="M434" s="191"/>
    </row>
    <row r="435" spans="1:13" ht="12.75">
      <c r="A435" s="191"/>
      <c r="M435" s="191"/>
    </row>
    <row r="436" spans="1:13" ht="12.75">
      <c r="A436" s="191"/>
      <c r="M436" s="191"/>
    </row>
    <row r="437" spans="1:13" ht="12.75">
      <c r="A437" s="191"/>
      <c r="M437" s="191"/>
    </row>
    <row r="438" spans="1:13" ht="12.75">
      <c r="A438" s="191"/>
      <c r="M438" s="191"/>
    </row>
    <row r="439" spans="1:13" ht="12.75">
      <c r="A439" s="191"/>
      <c r="M439" s="191"/>
    </row>
    <row r="440" spans="1:13" ht="12.75">
      <c r="A440" s="191"/>
      <c r="M440" s="191"/>
    </row>
    <row r="441" spans="1:13" ht="12.75">
      <c r="A441" s="191"/>
      <c r="M441" s="191"/>
    </row>
    <row r="442" spans="1:13" ht="12.75">
      <c r="A442" s="191"/>
      <c r="M442" s="191"/>
    </row>
    <row r="443" spans="1:13" ht="12.75">
      <c r="A443" s="191"/>
      <c r="M443" s="191"/>
    </row>
    <row r="444" spans="1:13" ht="12.75">
      <c r="A444" s="191"/>
      <c r="M444" s="191"/>
    </row>
    <row r="445" spans="1:13" ht="12.75">
      <c r="A445" s="191"/>
      <c r="M445" s="191"/>
    </row>
    <row r="446" spans="1:13" ht="12.75">
      <c r="A446" s="191"/>
      <c r="M446" s="191"/>
    </row>
    <row r="447" spans="1:13" ht="12.75">
      <c r="A447" s="191"/>
      <c r="M447" s="191"/>
    </row>
    <row r="448" spans="1:13" ht="12.75">
      <c r="A448" s="191"/>
      <c r="M448" s="191"/>
    </row>
    <row r="449" spans="1:13" ht="12.75">
      <c r="A449" s="191"/>
      <c r="M449" s="191"/>
    </row>
    <row r="450" spans="1:13" ht="12.75">
      <c r="A450" s="191"/>
      <c r="M450" s="191"/>
    </row>
    <row r="451" spans="1:13" ht="12.75">
      <c r="A451" s="191"/>
      <c r="M451" s="191"/>
    </row>
    <row r="452" spans="1:13" ht="12.75">
      <c r="A452" s="191"/>
      <c r="M452" s="191"/>
    </row>
    <row r="453" spans="1:13" ht="12.75">
      <c r="A453" s="191"/>
      <c r="M453" s="191"/>
    </row>
    <row r="454" spans="1:13" ht="12.75">
      <c r="A454" s="191"/>
      <c r="M454" s="191"/>
    </row>
    <row r="455" spans="1:13" ht="12.75">
      <c r="A455" s="191"/>
      <c r="M455" s="191"/>
    </row>
    <row r="456" spans="1:13" ht="12.75">
      <c r="A456" s="191"/>
      <c r="M456" s="191"/>
    </row>
    <row r="457" spans="1:13" ht="12.75">
      <c r="A457" s="191"/>
      <c r="M457" s="191"/>
    </row>
    <row r="458" spans="1:13" ht="12.75">
      <c r="A458" s="191"/>
      <c r="M458" s="191"/>
    </row>
    <row r="459" spans="1:13" ht="12.75">
      <c r="A459" s="191"/>
      <c r="M459" s="191"/>
    </row>
    <row r="460" spans="1:13" ht="12.75">
      <c r="A460" s="191"/>
      <c r="M460" s="191"/>
    </row>
    <row r="461" spans="1:13" ht="12.75">
      <c r="A461" s="191"/>
      <c r="M461" s="191"/>
    </row>
    <row r="462" spans="1:13" ht="12.75">
      <c r="A462" s="191"/>
      <c r="M462" s="191"/>
    </row>
    <row r="463" spans="1:13" ht="12.75">
      <c r="A463" s="191"/>
      <c r="M463" s="191"/>
    </row>
    <row r="464" spans="1:13" ht="12.75">
      <c r="A464" s="191"/>
      <c r="M464" s="191"/>
    </row>
    <row r="465" spans="1:13" ht="12.75">
      <c r="A465" s="191"/>
      <c r="M465" s="191"/>
    </row>
    <row r="466" spans="1:13" ht="12.75">
      <c r="A466" s="191"/>
      <c r="M466" s="191"/>
    </row>
    <row r="467" spans="1:13" ht="12.75">
      <c r="A467" s="191"/>
      <c r="M467" s="191"/>
    </row>
    <row r="468" spans="1:13" ht="12.75">
      <c r="A468" s="191"/>
      <c r="M468" s="191"/>
    </row>
    <row r="469" spans="1:13" ht="12.75">
      <c r="A469" s="191"/>
      <c r="M469" s="191"/>
    </row>
    <row r="470" spans="1:13" ht="12.75">
      <c r="A470" s="191"/>
      <c r="M470" s="191"/>
    </row>
    <row r="471" spans="1:13" ht="12.75">
      <c r="A471" s="191"/>
      <c r="M471" s="191"/>
    </row>
    <row r="472" spans="1:13" ht="12.75">
      <c r="A472" s="191"/>
      <c r="M472" s="191"/>
    </row>
    <row r="473" spans="1:13" ht="12.75">
      <c r="A473" s="191"/>
      <c r="M473" s="191"/>
    </row>
    <row r="474" spans="1:13" ht="12.75">
      <c r="A474" s="191"/>
      <c r="M474" s="191"/>
    </row>
    <row r="475" spans="1:13" ht="12.75">
      <c r="A475" s="191"/>
      <c r="M475" s="191"/>
    </row>
    <row r="476" spans="1:13" ht="12.75">
      <c r="A476" s="191"/>
      <c r="B476" s="57" t="s">
        <v>343</v>
      </c>
      <c r="M476" s="191"/>
    </row>
    <row r="477" spans="1:13" ht="12.75">
      <c r="A477" s="191"/>
      <c r="M477" s="191"/>
    </row>
    <row r="478" spans="1:13" ht="12.75">
      <c r="A478" s="191"/>
      <c r="B478" t="s">
        <v>344</v>
      </c>
      <c r="M478" s="191"/>
    </row>
    <row r="479" spans="1:13" ht="12.75">
      <c r="A479" s="191"/>
      <c r="B479" t="s">
        <v>345</v>
      </c>
      <c r="M479" s="191"/>
    </row>
    <row r="480" spans="1:13" ht="12.75">
      <c r="A480" s="191"/>
      <c r="B480" t="s">
        <v>346</v>
      </c>
      <c r="M480" s="191"/>
    </row>
    <row r="481" spans="1:13" ht="12.75">
      <c r="A481" s="191"/>
      <c r="B481" t="s">
        <v>347</v>
      </c>
      <c r="M481" s="191"/>
    </row>
    <row r="482" spans="1:13" ht="12.75">
      <c r="A482" s="191"/>
      <c r="B482" t="s">
        <v>348</v>
      </c>
      <c r="M482" s="191"/>
    </row>
    <row r="483" spans="1:13" ht="12.75">
      <c r="A483" s="191"/>
      <c r="B483" t="s">
        <v>349</v>
      </c>
      <c r="M483" s="191"/>
    </row>
    <row r="484" spans="1:13" ht="12.75">
      <c r="A484" s="191"/>
      <c r="B484" t="s">
        <v>350</v>
      </c>
      <c r="M484" s="191"/>
    </row>
    <row r="485" spans="1:13" ht="12.75">
      <c r="A485" s="191"/>
      <c r="B485" t="s">
        <v>351</v>
      </c>
      <c r="M485" s="191"/>
    </row>
    <row r="486" spans="1:13" ht="12.75">
      <c r="A486" s="191"/>
      <c r="B486" t="s">
        <v>352</v>
      </c>
      <c r="M486" s="191"/>
    </row>
    <row r="487" spans="1:13" ht="12.75">
      <c r="A487" s="191"/>
      <c r="B487" t="s">
        <v>353</v>
      </c>
      <c r="M487" s="191"/>
    </row>
    <row r="488" spans="1:13" ht="12.75">
      <c r="A488" s="191"/>
      <c r="B488" t="s">
        <v>354</v>
      </c>
      <c r="M488" s="191"/>
    </row>
    <row r="489" spans="1:13" ht="12.75">
      <c r="A489" s="191"/>
      <c r="B489" t="s">
        <v>355</v>
      </c>
      <c r="M489" s="191"/>
    </row>
    <row r="490" spans="1:13" ht="12.75">
      <c r="A490" s="191"/>
      <c r="B490" t="s">
        <v>356</v>
      </c>
      <c r="M490" s="191"/>
    </row>
    <row r="491" spans="1:13" ht="12.75">
      <c r="A491" s="191"/>
      <c r="B491" t="s">
        <v>357</v>
      </c>
      <c r="M491" s="191"/>
    </row>
    <row r="492" spans="1:13" ht="12.75">
      <c r="A492" s="191"/>
      <c r="B492" t="s">
        <v>358</v>
      </c>
      <c r="M492" s="191"/>
    </row>
    <row r="493" spans="1:13" ht="12.75">
      <c r="A493" s="191"/>
      <c r="B493" t="s">
        <v>359</v>
      </c>
      <c r="M493" s="191"/>
    </row>
    <row r="494" spans="1:13" ht="12.75">
      <c r="A494" s="191"/>
      <c r="B494" t="s">
        <v>360</v>
      </c>
      <c r="M494" s="191"/>
    </row>
    <row r="495" spans="1:13" ht="12.75">
      <c r="A495" s="191"/>
      <c r="B495" t="s">
        <v>361</v>
      </c>
      <c r="M495" s="191"/>
    </row>
    <row r="496" spans="1:13" ht="12.75">
      <c r="A496" s="191"/>
      <c r="B496" t="s">
        <v>362</v>
      </c>
      <c r="M496" s="191"/>
    </row>
    <row r="497" spans="1:13" ht="12.75">
      <c r="A497" s="191"/>
      <c r="B497" t="s">
        <v>363</v>
      </c>
      <c r="M497" s="191"/>
    </row>
    <row r="498" spans="1:13" ht="12.75">
      <c r="A498" s="191"/>
      <c r="B498" t="s">
        <v>364</v>
      </c>
      <c r="M498" s="191"/>
    </row>
    <row r="499" spans="1:13" ht="12.75">
      <c r="A499" s="191"/>
      <c r="B499" t="s">
        <v>365</v>
      </c>
      <c r="M499" s="191"/>
    </row>
    <row r="500" spans="1:13" ht="12.75">
      <c r="A500" s="191"/>
      <c r="B500" t="s">
        <v>366</v>
      </c>
      <c r="M500" s="191"/>
    </row>
    <row r="501" spans="1:13" ht="12.75">
      <c r="A501" s="191"/>
      <c r="B501" t="s">
        <v>367</v>
      </c>
      <c r="M501" s="191"/>
    </row>
    <row r="502" spans="1:13" ht="12.75">
      <c r="A502" s="191"/>
      <c r="B502" t="s">
        <v>368</v>
      </c>
      <c r="M502" s="191"/>
    </row>
    <row r="503" spans="1:13" ht="12.75">
      <c r="A503" s="191"/>
      <c r="B503" t="s">
        <v>369</v>
      </c>
      <c r="M503" s="191"/>
    </row>
    <row r="504" spans="1:13" ht="12.75">
      <c r="A504" s="191"/>
      <c r="B504" t="s">
        <v>370</v>
      </c>
      <c r="M504" s="191"/>
    </row>
    <row r="505" spans="1:13" ht="12.75">
      <c r="A505" s="191"/>
      <c r="M505" s="191"/>
    </row>
    <row r="506" spans="1:13" ht="12.75">
      <c r="A506" s="191"/>
      <c r="M506" s="191"/>
    </row>
    <row r="507" spans="1:13" ht="12.75">
      <c r="A507" s="191"/>
      <c r="M507" s="191"/>
    </row>
    <row r="508" spans="1:13" ht="12.75">
      <c r="A508" s="191"/>
      <c r="M508" s="191"/>
    </row>
    <row r="509" spans="1:13" ht="12.75">
      <c r="A509" s="191"/>
      <c r="M509" s="191"/>
    </row>
    <row r="510" spans="1:13" ht="12.75">
      <c r="A510" s="191"/>
      <c r="M510" s="191"/>
    </row>
    <row r="511" spans="1:13" ht="12.75">
      <c r="A511" s="191"/>
      <c r="M511" s="191"/>
    </row>
    <row r="512" spans="1:13" ht="12.75">
      <c r="A512" s="191"/>
      <c r="M512" s="191"/>
    </row>
    <row r="513" spans="1:13" ht="12.75">
      <c r="A513" s="191"/>
      <c r="M513" s="191"/>
    </row>
    <row r="514" spans="1:13" ht="12.75">
      <c r="A514" s="191"/>
      <c r="M514" s="191"/>
    </row>
    <row r="515" spans="1:13" ht="12.75">
      <c r="A515" s="191"/>
      <c r="M515" s="191"/>
    </row>
    <row r="516" spans="1:13" ht="12.75">
      <c r="A516" s="191"/>
      <c r="M516" s="191"/>
    </row>
    <row r="517" spans="1:13" ht="12.75">
      <c r="A517" s="191"/>
      <c r="M517" s="191"/>
    </row>
    <row r="518" spans="1:13" ht="12.75">
      <c r="A518" s="191"/>
      <c r="M518" s="191"/>
    </row>
    <row r="519" spans="1:13" ht="12.75">
      <c r="A519" s="191"/>
      <c r="M519" s="191"/>
    </row>
    <row r="520" spans="1:13" ht="12.75">
      <c r="A520" s="191"/>
      <c r="M520" s="191"/>
    </row>
    <row r="521" spans="1:13" ht="12.75">
      <c r="A521" s="191"/>
      <c r="M521" s="191"/>
    </row>
    <row r="522" spans="1:13" ht="12.75">
      <c r="A522" s="191"/>
      <c r="M522" s="191"/>
    </row>
    <row r="523" spans="1:13" ht="12.75">
      <c r="A523" s="191"/>
      <c r="M523" s="191"/>
    </row>
    <row r="524" spans="1:13" ht="12.75">
      <c r="A524" s="191"/>
      <c r="M524" s="191"/>
    </row>
    <row r="525" spans="1:13" ht="12.75">
      <c r="A525" s="191"/>
      <c r="M525" s="191"/>
    </row>
    <row r="526" spans="1:13" ht="12.75">
      <c r="A526" s="191"/>
      <c r="M526" s="191"/>
    </row>
    <row r="527" spans="1:13" ht="12.75">
      <c r="A527" s="191"/>
      <c r="M527" s="191"/>
    </row>
    <row r="528" spans="1:13" ht="12.75">
      <c r="A528" s="191"/>
      <c r="M528" s="191"/>
    </row>
    <row r="529" spans="1:13" ht="12.75">
      <c r="A529" s="191"/>
      <c r="M529" s="191"/>
    </row>
    <row r="530" spans="1:13" ht="12.75">
      <c r="A530" s="191"/>
      <c r="M530" s="191"/>
    </row>
    <row r="531" spans="1:13" ht="12.75">
      <c r="A531" s="191"/>
      <c r="M531" s="191"/>
    </row>
    <row r="532" spans="1:13" ht="12.75">
      <c r="A532" s="191"/>
      <c r="M532" s="191"/>
    </row>
    <row r="533" spans="1:13" ht="12.75">
      <c r="A533" s="191"/>
      <c r="M533" s="191"/>
    </row>
    <row r="534" spans="1:13" ht="12.75">
      <c r="A534" s="191"/>
      <c r="M534" s="191"/>
    </row>
    <row r="535" spans="1:13" ht="12.75">
      <c r="A535" s="191"/>
      <c r="M535" s="191"/>
    </row>
    <row r="536" spans="1:13" ht="12.75">
      <c r="A536" s="191"/>
      <c r="M536" s="191"/>
    </row>
    <row r="537" spans="1:13" ht="12.75">
      <c r="A537" s="191"/>
      <c r="M537" s="191"/>
    </row>
    <row r="538" spans="1:13" ht="12.75">
      <c r="A538" s="191"/>
      <c r="M538" s="191"/>
    </row>
    <row r="539" spans="1:13" ht="12.75">
      <c r="A539" s="191"/>
      <c r="M539" s="191"/>
    </row>
    <row r="540" spans="1:13" ht="12.75">
      <c r="A540" s="191"/>
      <c r="M540" s="191"/>
    </row>
    <row r="541" spans="1:13" ht="12.75">
      <c r="A541" s="191"/>
      <c r="M541" s="191"/>
    </row>
    <row r="542" spans="1:13" ht="12.75">
      <c r="A542" s="191"/>
      <c r="M542" s="191"/>
    </row>
    <row r="543" spans="1:13" ht="12.75">
      <c r="A543" s="191"/>
      <c r="M543" s="191"/>
    </row>
    <row r="544" spans="1:13" ht="12.75">
      <c r="A544" s="191"/>
      <c r="M544" s="191"/>
    </row>
    <row r="545" spans="1:13" ht="12.75">
      <c r="A545" s="191"/>
      <c r="M545" s="191"/>
    </row>
    <row r="546" spans="1:13" ht="12.75">
      <c r="A546" s="191"/>
      <c r="M546" s="191"/>
    </row>
    <row r="547" spans="1:13" ht="12.75">
      <c r="A547" s="191"/>
      <c r="M547" s="191"/>
    </row>
    <row r="548" spans="1:13" ht="12.75">
      <c r="A548" s="191"/>
      <c r="M548" s="191"/>
    </row>
    <row r="549" spans="1:13" ht="12.75">
      <c r="A549" s="191"/>
      <c r="M549" s="191"/>
    </row>
    <row r="550" spans="1:13" ht="12.75">
      <c r="A550" s="191"/>
      <c r="M550" s="191"/>
    </row>
    <row r="551" ht="12.75">
      <c r="A551" s="191"/>
    </row>
    <row r="552" ht="12.75">
      <c r="A552" s="191"/>
    </row>
    <row r="553" ht="12.75">
      <c r="A553" s="191"/>
    </row>
    <row r="554" ht="12.75">
      <c r="A554" s="191"/>
    </row>
    <row r="555" ht="12.75">
      <c r="A555" s="191"/>
    </row>
    <row r="556" ht="12.75">
      <c r="A556" s="191"/>
    </row>
    <row r="557" ht="12.75">
      <c r="A557" s="191"/>
    </row>
    <row r="558" ht="12.75">
      <c r="A558" s="191"/>
    </row>
    <row r="559" ht="12.75">
      <c r="A559" s="191"/>
    </row>
    <row r="560" ht="12.75">
      <c r="A560" s="191"/>
    </row>
    <row r="561" ht="12.75">
      <c r="A561" s="191"/>
    </row>
    <row r="562" ht="12.75">
      <c r="A562" s="191"/>
    </row>
    <row r="563" ht="12.75">
      <c r="A563" s="191"/>
    </row>
    <row r="564" ht="12.75">
      <c r="A564" s="191"/>
    </row>
    <row r="565" ht="12.75">
      <c r="A565" s="191"/>
    </row>
    <row r="566" ht="12.75">
      <c r="A566" s="191"/>
    </row>
    <row r="567" ht="12.75">
      <c r="A567" s="191"/>
    </row>
    <row r="568" ht="12.75">
      <c r="A568" s="191"/>
    </row>
    <row r="569" ht="12.75">
      <c r="A569" s="191"/>
    </row>
    <row r="570" ht="12.75">
      <c r="A570" s="191"/>
    </row>
    <row r="571" ht="12.75">
      <c r="A571" s="191"/>
    </row>
    <row r="572" ht="12.75">
      <c r="A572" s="191"/>
    </row>
    <row r="573" ht="12.75">
      <c r="A573" s="191"/>
    </row>
    <row r="574" ht="12.75">
      <c r="A574" s="191"/>
    </row>
    <row r="575" ht="12.75">
      <c r="A575" s="191"/>
    </row>
    <row r="576" ht="12.75">
      <c r="A576" s="191"/>
    </row>
    <row r="577" ht="12.75">
      <c r="A577" s="191"/>
    </row>
    <row r="578" ht="12.75">
      <c r="A578" s="191"/>
    </row>
    <row r="579" ht="12.75">
      <c r="A579" s="191"/>
    </row>
    <row r="580" ht="12.75">
      <c r="A580" s="191"/>
    </row>
    <row r="581" ht="12.75">
      <c r="A581" s="191"/>
    </row>
    <row r="582" ht="12.75">
      <c r="A582" s="191"/>
    </row>
    <row r="583" ht="12.75">
      <c r="A583" s="191"/>
    </row>
    <row r="584" ht="12.75">
      <c r="A584" s="191"/>
    </row>
    <row r="585" ht="12.75">
      <c r="A585" s="191"/>
    </row>
    <row r="586" ht="12.75">
      <c r="A586" s="191"/>
    </row>
    <row r="587" ht="12.75">
      <c r="A587" s="191"/>
    </row>
    <row r="588" ht="12.75">
      <c r="A588" s="191"/>
    </row>
    <row r="589" ht="12.75">
      <c r="A589" s="191"/>
    </row>
    <row r="590" ht="12.75">
      <c r="A590" s="191"/>
    </row>
    <row r="591" ht="12.75">
      <c r="A591" s="191"/>
    </row>
    <row r="592" ht="12.75">
      <c r="A592" s="191"/>
    </row>
    <row r="593" ht="12.75">
      <c r="A593" s="191"/>
    </row>
    <row r="594" ht="12.75">
      <c r="A594" s="191"/>
    </row>
    <row r="595" ht="12.75">
      <c r="A595" s="191"/>
    </row>
    <row r="596" ht="12.75">
      <c r="A596" s="191"/>
    </row>
    <row r="597" ht="12.75">
      <c r="A597" s="191"/>
    </row>
    <row r="598" ht="12.75">
      <c r="A598" s="191"/>
    </row>
    <row r="599" ht="12.75">
      <c r="A599" s="191"/>
    </row>
    <row r="600" ht="12.75">
      <c r="A600" s="191"/>
    </row>
    <row r="601" ht="12.75">
      <c r="A601" s="191"/>
    </row>
    <row r="602" ht="12.75">
      <c r="A602" s="191"/>
    </row>
    <row r="603" ht="12.75">
      <c r="A603" s="191"/>
    </row>
    <row r="604" ht="12.75">
      <c r="A604" s="191"/>
    </row>
    <row r="605" ht="12.75">
      <c r="A605" s="191"/>
    </row>
    <row r="606" ht="12.75">
      <c r="A606" s="191"/>
    </row>
    <row r="607" ht="12.75">
      <c r="A607" s="191"/>
    </row>
    <row r="608" ht="12.75">
      <c r="A608" s="191"/>
    </row>
    <row r="609" ht="12.75">
      <c r="A609" s="191"/>
    </row>
    <row r="610" ht="12.75">
      <c r="A610" s="191"/>
    </row>
    <row r="611" ht="12.75">
      <c r="A611" s="191"/>
    </row>
    <row r="612" ht="12.75">
      <c r="A612" s="191"/>
    </row>
    <row r="613" ht="12.75">
      <c r="A613" s="191"/>
    </row>
    <row r="614" ht="12.75">
      <c r="A614" s="191"/>
    </row>
    <row r="615" ht="12.75">
      <c r="A615" s="191"/>
    </row>
    <row r="616" ht="12.75">
      <c r="A616" s="191"/>
    </row>
    <row r="617" ht="12.75">
      <c r="A617" s="191"/>
    </row>
    <row r="618" ht="12.75">
      <c r="A618" s="191"/>
    </row>
    <row r="619" ht="12.75">
      <c r="A619" s="191"/>
    </row>
    <row r="620" ht="12.75">
      <c r="A620" s="191"/>
    </row>
    <row r="621" ht="12.75">
      <c r="A621" s="191"/>
    </row>
    <row r="622" ht="12.75">
      <c r="A622" s="191"/>
    </row>
    <row r="623" ht="12.75">
      <c r="A623" s="191"/>
    </row>
    <row r="637" ht="12.75">
      <c r="M637" s="191"/>
    </row>
    <row r="638" ht="12.75">
      <c r="M638" s="191"/>
    </row>
    <row r="639" ht="12.75">
      <c r="M639" s="191"/>
    </row>
    <row r="640" ht="12.75">
      <c r="M640" s="191"/>
    </row>
    <row r="641" ht="12.75">
      <c r="M641" s="191"/>
    </row>
    <row r="642" ht="12.75">
      <c r="M642" s="191"/>
    </row>
    <row r="643" ht="12.75">
      <c r="M643" s="191"/>
    </row>
    <row r="644" ht="12.75">
      <c r="M644" s="191"/>
    </row>
    <row r="645" ht="12.75">
      <c r="M645" s="191"/>
    </row>
    <row r="646" ht="12.75">
      <c r="M646" s="191"/>
    </row>
    <row r="647" ht="12.75">
      <c r="M647" s="191"/>
    </row>
    <row r="648" ht="12.75">
      <c r="M648" s="191"/>
    </row>
    <row r="649" ht="12.75">
      <c r="M649" s="191"/>
    </row>
    <row r="650" ht="12.75">
      <c r="M650" s="191"/>
    </row>
    <row r="651" ht="12.75">
      <c r="M651" s="191"/>
    </row>
    <row r="652" ht="12.75">
      <c r="M652" s="191"/>
    </row>
    <row r="653" ht="12.75">
      <c r="M653" s="191"/>
    </row>
    <row r="654" ht="12.75">
      <c r="M654" s="191"/>
    </row>
    <row r="655" ht="12.75">
      <c r="M655" s="191"/>
    </row>
    <row r="656" ht="12.75">
      <c r="M656" s="191"/>
    </row>
    <row r="657" ht="12.75">
      <c r="M657" s="191"/>
    </row>
    <row r="658" ht="12.75">
      <c r="M658" s="191"/>
    </row>
    <row r="659" ht="12.75">
      <c r="M659" s="191"/>
    </row>
    <row r="660" ht="12.75">
      <c r="M660" s="191"/>
    </row>
    <row r="661" ht="12.75">
      <c r="M661" s="191"/>
    </row>
    <row r="662" ht="12.75">
      <c r="M662" s="191"/>
    </row>
    <row r="663" ht="12.75">
      <c r="M663" s="191"/>
    </row>
    <row r="664" ht="12.75">
      <c r="M664" s="191"/>
    </row>
    <row r="665" ht="12.75">
      <c r="M665" s="191"/>
    </row>
    <row r="666" ht="12.75">
      <c r="M666" s="191"/>
    </row>
    <row r="667" spans="1:13" ht="12.75">
      <c r="A667" s="191"/>
      <c r="M667" s="191"/>
    </row>
    <row r="668" spans="1:13" ht="12.75">
      <c r="A668" s="191"/>
      <c r="M668" s="191"/>
    </row>
    <row r="669" spans="1:13" ht="12.75">
      <c r="A669" s="191"/>
      <c r="M669" s="191"/>
    </row>
    <row r="670" spans="1:13" ht="12.75">
      <c r="A670" s="191"/>
      <c r="M670" s="191"/>
    </row>
    <row r="671" spans="1:13" ht="12.75">
      <c r="A671" s="191"/>
      <c r="M671" s="191"/>
    </row>
    <row r="672" spans="1:13" ht="12.75">
      <c r="A672" s="191"/>
      <c r="M672" s="191"/>
    </row>
    <row r="673" spans="1:13" ht="12.75">
      <c r="A673" s="191"/>
      <c r="M673" s="191"/>
    </row>
    <row r="674" spans="1:13" ht="12.75">
      <c r="A674" s="191"/>
      <c r="M674" s="191"/>
    </row>
    <row r="675" spans="1:13" ht="12.75">
      <c r="A675" s="191"/>
      <c r="M675" s="191"/>
    </row>
    <row r="676" spans="1:13" ht="12.75">
      <c r="A676" s="191"/>
      <c r="M676" s="191"/>
    </row>
    <row r="677" spans="1:13" ht="12.75">
      <c r="A677" s="191"/>
      <c r="M677" s="191"/>
    </row>
  </sheetData>
  <sheetProtection/>
  <mergeCells count="59">
    <mergeCell ref="R250:W250"/>
    <mergeCell ref="F259:K259"/>
    <mergeCell ref="A232:K232"/>
    <mergeCell ref="M232:W232"/>
    <mergeCell ref="R235:V235"/>
    <mergeCell ref="F236:J236"/>
    <mergeCell ref="R241:W241"/>
    <mergeCell ref="F242:K242"/>
    <mergeCell ref="F181:J181"/>
    <mergeCell ref="R187:W187"/>
    <mergeCell ref="F189:K189"/>
    <mergeCell ref="R200:W200"/>
    <mergeCell ref="F204:K204"/>
    <mergeCell ref="F217:K217"/>
    <mergeCell ref="F151:K151"/>
    <mergeCell ref="R153:W153"/>
    <mergeCell ref="F160:K160"/>
    <mergeCell ref="R162:W162"/>
    <mergeCell ref="A178:K178"/>
    <mergeCell ref="M178:W178"/>
    <mergeCell ref="A135:K135"/>
    <mergeCell ref="M137:W137"/>
    <mergeCell ref="F139:J139"/>
    <mergeCell ref="R141:V141"/>
    <mergeCell ref="F145:K145"/>
    <mergeCell ref="R147:W147"/>
    <mergeCell ref="F104:K104"/>
    <mergeCell ref="R104:W104"/>
    <mergeCell ref="F112:K112"/>
    <mergeCell ref="R112:W112"/>
    <mergeCell ref="R120:W120"/>
    <mergeCell ref="F121:K121"/>
    <mergeCell ref="F77:K77"/>
    <mergeCell ref="R77:W77"/>
    <mergeCell ref="A94:K94"/>
    <mergeCell ref="M94:W94"/>
    <mergeCell ref="F97:K97"/>
    <mergeCell ref="F98:J98"/>
    <mergeCell ref="R98:V98"/>
    <mergeCell ref="F53:K53"/>
    <mergeCell ref="F54:J54"/>
    <mergeCell ref="R54:V54"/>
    <mergeCell ref="F60:K60"/>
    <mergeCell ref="R60:W60"/>
    <mergeCell ref="F66:K66"/>
    <mergeCell ref="R66:W66"/>
    <mergeCell ref="F22:K22"/>
    <mergeCell ref="R23:W23"/>
    <mergeCell ref="F33:K33"/>
    <mergeCell ref="R34:W34"/>
    <mergeCell ref="A50:K50"/>
    <mergeCell ref="M50:W50"/>
    <mergeCell ref="A2:K2"/>
    <mergeCell ref="M2:W2"/>
    <mergeCell ref="F5:J5"/>
    <mergeCell ref="F6:J6"/>
    <mergeCell ref="R6:V6"/>
    <mergeCell ref="F12:K12"/>
    <mergeCell ref="R12:W12"/>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cp:lastModifiedBy>
  <dcterms:created xsi:type="dcterms:W3CDTF">2005-09-09T19:07:13Z</dcterms:created>
  <dcterms:modified xsi:type="dcterms:W3CDTF">2015-11-05T22:46:35Z</dcterms:modified>
  <cp:category/>
  <cp:version/>
  <cp:contentType/>
  <cp:contentStatus/>
</cp:coreProperties>
</file>