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01" firstSheet="2" activeTab="5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<sst xmlns="http://schemas.openxmlformats.org/spreadsheetml/2006/main" count="254" uniqueCount="125">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</sst>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50" applyNumberFormat="1" applyFont="1" applyFill="1" applyBorder="1" applyAlignment="1">
      <alignment vertical="center"/>
    </xf>
    <xf numFmtId="173" fontId="3" fillId="33" borderId="10" xfId="50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50" applyNumberFormat="1" applyFont="1" applyBorder="1" applyAlignment="1">
      <alignment vertical="center"/>
    </xf>
    <xf numFmtId="173" fontId="3" fillId="0" borderId="0" xfId="50" applyNumberFormat="1" applyFont="1" applyBorder="1" applyAlignment="1">
      <alignment vertical="center"/>
    </xf>
    <xf numFmtId="172" fontId="3" fillId="33" borderId="11" xfId="57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50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50" applyNumberFormat="1" applyFont="1" applyFill="1" applyBorder="1" applyAlignment="1">
      <alignment vertical="center"/>
    </xf>
    <xf numFmtId="173" fontId="3" fillId="33" borderId="20" xfId="5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50" applyNumberFormat="1" applyFont="1" applyFill="1" applyBorder="1" applyAlignment="1">
      <alignment vertical="center"/>
    </xf>
    <xf numFmtId="173" fontId="3" fillId="33" borderId="23" xfId="5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5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5" applyNumberFormat="1" applyFont="1" applyFill="1" applyBorder="1" applyAlignment="1">
      <alignment horizontal="center"/>
      <protection/>
    </xf>
    <xf numFmtId="173" fontId="3" fillId="35" borderId="26" xfId="50" applyNumberFormat="1" applyFont="1" applyFill="1" applyBorder="1" applyAlignment="1">
      <alignment vertical="center"/>
    </xf>
    <xf numFmtId="173" fontId="3" fillId="35" borderId="11" xfId="50" applyNumberFormat="1" applyFont="1" applyFill="1" applyBorder="1" applyAlignment="1">
      <alignment vertical="center"/>
    </xf>
    <xf numFmtId="173" fontId="3" fillId="35" borderId="26" xfId="5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7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7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50" applyNumberFormat="1" applyFont="1" applyFill="1" applyBorder="1" applyAlignment="1">
      <alignment vertical="center"/>
    </xf>
    <xf numFmtId="173" fontId="3" fillId="34" borderId="32" xfId="5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72" fontId="2" fillId="0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7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50" applyNumberFormat="1" applyFont="1" applyFill="1" applyBorder="1" applyAlignment="1">
      <alignment horizontal="center" vertical="center"/>
    </xf>
    <xf numFmtId="173" fontId="2" fillId="35" borderId="34" xfId="50" applyNumberFormat="1" applyFont="1" applyFill="1" applyBorder="1" applyAlignment="1">
      <alignment horizontal="center" vertical="center"/>
    </xf>
    <xf numFmtId="0" fontId="3" fillId="0" borderId="42" xfId="55" applyFont="1" applyFill="1" applyBorder="1" applyAlignment="1">
      <alignment horizontal="justify" vertical="top" wrapText="1"/>
      <protection/>
    </xf>
    <xf numFmtId="3" fontId="5" fillId="0" borderId="10" xfId="55" applyNumberFormat="1" applyFont="1" applyFill="1" applyBorder="1" applyAlignment="1" applyProtection="1">
      <alignment horizontal="center"/>
      <protection locked="0"/>
    </xf>
    <xf numFmtId="3" fontId="5" fillId="0" borderId="15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Fill="1">
      <alignment/>
      <protection/>
    </xf>
    <xf numFmtId="0" fontId="3" fillId="0" borderId="0" xfId="55" applyFont="1" applyFill="1" applyBorder="1" applyAlignment="1">
      <alignment horizontal="justify" vertical="top" wrapText="1"/>
      <protection/>
    </xf>
    <xf numFmtId="3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2" xfId="55" applyFont="1" applyFill="1" applyBorder="1" applyAlignment="1">
      <alignment horizontal="justify" vertical="top" wrapText="1"/>
      <protection/>
    </xf>
    <xf numFmtId="3" fontId="5" fillId="0" borderId="43" xfId="55" applyNumberFormat="1" applyFont="1" applyFill="1" applyBorder="1" applyAlignment="1">
      <alignment horizontal="center"/>
      <protection/>
    </xf>
    <xf numFmtId="3" fontId="5" fillId="0" borderId="43" xfId="55" applyNumberFormat="1" applyFont="1" applyFill="1" applyBorder="1" applyAlignment="1" applyProtection="1">
      <alignment horizontal="center"/>
      <protection locked="0"/>
    </xf>
    <xf numFmtId="0" fontId="13" fillId="0" borderId="0" xfId="55" applyFont="1" applyFill="1">
      <alignment/>
      <protection/>
    </xf>
    <xf numFmtId="0" fontId="5" fillId="0" borderId="0" xfId="55" applyFont="1" applyFill="1" applyAlignment="1">
      <alignment horizontal="justify" vertical="top" wrapText="1"/>
      <protection/>
    </xf>
    <xf numFmtId="0" fontId="3" fillId="39" borderId="44" xfId="55" applyFont="1" applyFill="1" applyBorder="1" applyAlignment="1">
      <alignment horizontal="center" vertical="top" wrapText="1"/>
      <protection/>
    </xf>
    <xf numFmtId="3" fontId="5" fillId="0" borderId="30" xfId="55" applyNumberFormat="1" applyFont="1" applyFill="1" applyBorder="1" applyAlignment="1" applyProtection="1">
      <alignment horizontal="center"/>
      <protection locked="0"/>
    </xf>
    <xf numFmtId="3" fontId="5" fillId="0" borderId="30" xfId="55" applyNumberFormat="1" applyFont="1" applyFill="1" applyBorder="1" applyAlignment="1">
      <alignment horizontal="center"/>
      <protection/>
    </xf>
    <xf numFmtId="3" fontId="5" fillId="0" borderId="45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45" xfId="55" applyFont="1" applyFill="1" applyBorder="1" applyAlignment="1">
      <alignment horizontal="center"/>
      <protection/>
    </xf>
    <xf numFmtId="0" fontId="3" fillId="33" borderId="46" xfId="55" applyFont="1" applyFill="1" applyBorder="1" applyAlignment="1">
      <alignment horizontal="justify" vertical="top" wrapText="1"/>
      <protection/>
    </xf>
    <xf numFmtId="3" fontId="3" fillId="33" borderId="28" xfId="55" applyNumberFormat="1" applyFont="1" applyFill="1" applyBorder="1" applyAlignment="1" applyProtection="1">
      <alignment horizontal="center"/>
      <protection locked="0"/>
    </xf>
    <xf numFmtId="3" fontId="3" fillId="33" borderId="47" xfId="55" applyNumberFormat="1" applyFont="1" applyFill="1" applyBorder="1" applyAlignment="1" applyProtection="1">
      <alignment horizontal="center"/>
      <protection locked="0"/>
    </xf>
    <xf numFmtId="0" fontId="3" fillId="33" borderId="42" xfId="55" applyFont="1" applyFill="1" applyBorder="1" applyAlignment="1">
      <alignment horizontal="justify" vertical="top" wrapText="1"/>
      <protection/>
    </xf>
    <xf numFmtId="3" fontId="3" fillId="33" borderId="10" xfId="55" applyNumberFormat="1" applyFont="1" applyFill="1" applyBorder="1" applyAlignment="1">
      <alignment horizontal="center"/>
      <protection/>
    </xf>
    <xf numFmtId="3" fontId="3" fillId="33" borderId="43" xfId="55" applyNumberFormat="1" applyFont="1" applyFill="1" applyBorder="1" applyAlignment="1">
      <alignment horizontal="center"/>
      <protection/>
    </xf>
    <xf numFmtId="0" fontId="3" fillId="42" borderId="46" xfId="55" applyFont="1" applyFill="1" applyBorder="1" applyAlignment="1">
      <alignment horizontal="justify" vertical="top" wrapText="1"/>
      <protection/>
    </xf>
    <xf numFmtId="3" fontId="5" fillId="42" borderId="28" xfId="55" applyNumberFormat="1" applyFont="1" applyFill="1" applyBorder="1" applyAlignment="1">
      <alignment horizontal="center"/>
      <protection/>
    </xf>
    <xf numFmtId="3" fontId="5" fillId="42" borderId="47" xfId="55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5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50" applyNumberFormat="1" applyFont="1" applyBorder="1" applyAlignment="1">
      <alignment horizontal="center"/>
    </xf>
    <xf numFmtId="10" fontId="2" fillId="0" borderId="34" xfId="57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28" xfId="55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50" applyNumberFormat="1" applyFont="1" applyFill="1" applyBorder="1" applyAlignment="1">
      <alignment/>
    </xf>
    <xf numFmtId="190" fontId="4" fillId="0" borderId="43" xfId="5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7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7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50" applyFont="1" applyFill="1" applyBorder="1" applyAlignment="1">
      <alignment/>
    </xf>
    <xf numFmtId="43" fontId="4" fillId="0" borderId="0" xfId="5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50" applyNumberFormat="1" applyFont="1" applyFill="1" applyBorder="1" applyAlignment="1">
      <alignment/>
    </xf>
    <xf numFmtId="192" fontId="4" fillId="0" borderId="43" xfId="50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7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6" borderId="48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4" xfId="55" applyFont="1" applyFill="1" applyBorder="1" applyAlignment="1">
      <alignment horizontal="center" vertical="top"/>
      <protection/>
    </xf>
    <xf numFmtId="0" fontId="2" fillId="0" borderId="30" xfId="55" applyFont="1" applyFill="1" applyBorder="1" applyAlignment="1">
      <alignment horizontal="center" vertical="top"/>
      <protection/>
    </xf>
    <xf numFmtId="0" fontId="2" fillId="0" borderId="85" xfId="55" applyFont="1" applyFill="1" applyBorder="1" applyAlignment="1">
      <alignment horizontal="center" vertical="center" wrapText="1"/>
      <protection/>
    </xf>
    <xf numFmtId="0" fontId="2" fillId="0" borderId="86" xfId="55" applyFont="1" applyFill="1" applyBorder="1" applyAlignment="1">
      <alignment horizontal="center" vertical="center" wrapText="1"/>
      <protection/>
    </xf>
    <xf numFmtId="0" fontId="2" fillId="0" borderId="8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/>
      <protection/>
    </xf>
    <xf numFmtId="0" fontId="2" fillId="0" borderId="45" xfId="55" applyFont="1" applyFill="1" applyBorder="1" applyAlignment="1">
      <alignment horizontal="center"/>
      <protection/>
    </xf>
    <xf numFmtId="3" fontId="2" fillId="0" borderId="42" xfId="55" applyNumberFormat="1" applyFont="1" applyFill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top" wrapText="1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45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88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top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85" xfId="55" applyFont="1" applyFill="1" applyBorder="1" applyAlignment="1">
      <alignment horizontal="center" vertical="center" wrapText="1"/>
      <protection/>
    </xf>
    <xf numFmtId="0" fontId="3" fillId="0" borderId="86" xfId="55" applyFont="1" applyFill="1" applyBorder="1" applyAlignment="1">
      <alignment horizontal="center" vertical="center" wrapText="1"/>
      <protection/>
    </xf>
    <xf numFmtId="0" fontId="3" fillId="0" borderId="69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1" fillId="0" borderId="89" xfId="55" applyFont="1" applyFill="1" applyBorder="1" applyAlignment="1">
      <alignment horizontal="center" vertical="center" wrapText="1"/>
      <protection/>
    </xf>
    <xf numFmtId="0" fontId="1" fillId="0" borderId="90" xfId="55" applyFont="1" applyFill="1" applyBorder="1" applyAlignment="1">
      <alignment horizontal="center" vertical="center"/>
      <protection/>
    </xf>
    <xf numFmtId="0" fontId="1" fillId="0" borderId="91" xfId="55" applyFont="1" applyFill="1" applyBorder="1" applyAlignment="1">
      <alignment horizontal="center" vertical="center"/>
      <protection/>
    </xf>
    <xf numFmtId="0" fontId="1" fillId="0" borderId="92" xfId="55" applyFont="1" applyFill="1" applyBorder="1" applyAlignment="1">
      <alignment horizontal="center" vertical="center"/>
      <protection/>
    </xf>
    <xf numFmtId="0" fontId="1" fillId="0" borderId="93" xfId="55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>
      <alignment horizontal="center" vertical="center"/>
      <protection/>
    </xf>
    <xf numFmtId="3" fontId="1" fillId="0" borderId="14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43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4" fillId="0" borderId="59" xfId="55" applyFont="1" applyFill="1" applyBorder="1" applyAlignment="1">
      <alignment horizontal="center" vertical="center" wrapText="1"/>
      <protection/>
    </xf>
    <xf numFmtId="0" fontId="14" fillId="0" borderId="52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3" fillId="36" borderId="94" xfId="0" applyFont="1" applyFill="1" applyBorder="1" applyAlignment="1">
      <alignment horizontal="center"/>
    </xf>
    <xf numFmtId="0" fontId="3" fillId="36" borderId="95" xfId="0" applyFont="1" applyFill="1" applyBorder="1" applyAlignment="1">
      <alignment horizontal="center"/>
    </xf>
    <xf numFmtId="0" fontId="3" fillId="36" borderId="9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50" applyNumberFormat="1" applyFont="1" applyBorder="1" applyAlignment="1">
      <alignment horizontal="center" vertical="center" wrapText="1"/>
    </xf>
    <xf numFmtId="0" fontId="3" fillId="35" borderId="9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/>
      <protection/>
    </xf>
    <xf numFmtId="0" fontId="3" fillId="43" borderId="31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8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3" fillId="35" borderId="100" xfId="0" applyFont="1" applyFill="1" applyBorder="1" applyAlignment="1">
      <alignment horizontal="center" vertical="center"/>
    </xf>
    <xf numFmtId="0" fontId="5" fillId="35" borderId="101" xfId="0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 IV A - Formulario 3  FARO CAPITAL SR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25"/>
          <c:w val="0.927"/>
          <c:h val="0.718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226226.4657119735</c:v>
                </c:pt>
                <c:pt idx="1">
                  <c:v>135869.31345325656</c:v>
                </c:pt>
                <c:pt idx="2">
                  <c:v>81274.42158408582</c:v>
                </c:pt>
                <c:pt idx="3">
                  <c:v>45824.52392578125</c:v>
                </c:pt>
                <c:pt idx="4">
                  <c:v>21453.88231094186</c:v>
                </c:pt>
                <c:pt idx="5">
                  <c:v>3911.6073307246697</c:v>
                </c:pt>
                <c:pt idx="6">
                  <c:v>-9198.42473515941</c:v>
                </c:pt>
                <c:pt idx="7">
                  <c:v>-19304.465666155447</c:v>
                </c:pt>
                <c:pt idx="8">
                  <c:v>-27298.917665122746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219819.15647812083</c:v>
                </c:pt>
                <c:pt idx="1">
                  <c:v>145705.8436260929</c:v>
                </c:pt>
                <c:pt idx="2">
                  <c:v>101036.09361048983</c:v>
                </c:pt>
                <c:pt idx="3">
                  <c:v>72104.50592729976</c:v>
                </c:pt>
                <c:pt idx="4">
                  <c:v>52264.057640898856</c:v>
                </c:pt>
                <c:pt idx="5">
                  <c:v>38015.61104061142</c:v>
                </c:pt>
                <c:pt idx="6">
                  <c:v>27389.54546562172</c:v>
                </c:pt>
                <c:pt idx="7">
                  <c:v>19213.661106570093</c:v>
                </c:pt>
                <c:pt idx="8">
                  <c:v>12756.747959918284</c:v>
                </c:pt>
              </c:numCache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0.31175</cdr:y>
    </cdr:from>
    <cdr:to>
      <cdr:x>0.24825</cdr:x>
      <cdr:y>0.3555</cdr:y>
    </cdr:to>
    <cdr:sp>
      <cdr:nvSpPr>
        <cdr:cNvPr id="1" name="Line 19"/>
        <cdr:cNvSpPr>
          <a:spLocks/>
        </cdr:cNvSpPr>
      </cdr:nvSpPr>
      <cdr:spPr>
        <a:xfrm flipH="1">
          <a:off x="1876425" y="17526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0.65175</cdr:y>
    </cdr:from>
    <cdr:to>
      <cdr:x>0.61125</cdr:x>
      <cdr:y>0.71875</cdr:y>
    </cdr:to>
    <cdr:sp>
      <cdr:nvSpPr>
        <cdr:cNvPr id="2" name="Line 20"/>
        <cdr:cNvSpPr>
          <a:spLocks/>
        </cdr:cNvSpPr>
      </cdr:nvSpPr>
      <cdr:spPr>
        <a:xfrm flipH="1">
          <a:off x="5362575" y="3667125"/>
          <a:ext cx="276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0.286</cdr:y>
    </cdr:from>
    <cdr:to>
      <cdr:x>0.37575</cdr:x>
      <cdr:y>0.31175</cdr:y>
    </cdr:to>
    <cdr:sp>
      <cdr:nvSpPr>
        <cdr:cNvPr id="3" name="AutoShape 21"/>
        <cdr:cNvSpPr>
          <a:spLocks/>
        </cdr:cNvSpPr>
      </cdr:nvSpPr>
      <cdr:spPr>
        <a:xfrm>
          <a:off x="2286000" y="1609725"/>
          <a:ext cx="1181100" cy="142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0.61125</cdr:x>
      <cdr:y>0.6205</cdr:y>
    </cdr:from>
    <cdr:to>
      <cdr:x>0.73775</cdr:x>
      <cdr:y>0.65125</cdr:y>
    </cdr:to>
    <cdr:sp>
      <cdr:nvSpPr>
        <cdr:cNvPr id="4" name="AutoShape 22"/>
        <cdr:cNvSpPr>
          <a:spLocks/>
        </cdr:cNvSpPr>
      </cdr:nvSpPr>
      <cdr:spPr>
        <a:xfrm>
          <a:off x="5638800" y="3495675"/>
          <a:ext cx="1171575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638800"/>
    <xdr:graphicFrame>
      <xdr:nvGraphicFramePr>
        <xdr:cNvPr id="1" name="Shape 1025"/>
        <xdr:cNvGraphicFramePr/>
      </xdr:nvGraphicFramePr>
      <xdr:xfrm>
        <a:off x="0" y="0"/>
        <a:ext cx="92297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75" zoomScaleNormal="75" zoomScalePageLayoutView="0" workbookViewId="0" topLeftCell="A1">
      <selection activeCell="A2" sqref="A2:K2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80" t="s">
        <v>59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71" t="s">
        <v>40</v>
      </c>
      <c r="B4" s="272"/>
      <c r="C4" s="272"/>
      <c r="D4" s="272"/>
      <c r="E4" s="273"/>
      <c r="F4" s="281" t="s">
        <v>15</v>
      </c>
      <c r="G4" s="281"/>
      <c r="H4" s="281"/>
      <c r="I4" s="281"/>
      <c r="J4" s="281"/>
      <c r="K4" s="282"/>
    </row>
    <row r="5" spans="1:12" ht="15.75">
      <c r="A5" s="274"/>
      <c r="B5" s="275"/>
      <c r="C5" s="275"/>
      <c r="D5" s="275"/>
      <c r="E5" s="276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283" t="s">
        <v>68</v>
      </c>
      <c r="B6" s="284"/>
      <c r="C6" s="284"/>
      <c r="D6" s="284"/>
      <c r="E6" s="285"/>
      <c r="F6" s="268"/>
      <c r="G6" s="269"/>
      <c r="H6" s="269"/>
      <c r="I6" s="269"/>
      <c r="J6" s="269"/>
      <c r="K6" s="270"/>
      <c r="L6" s="37"/>
    </row>
    <row r="7" spans="1:12" ht="15.75">
      <c r="A7" s="286" t="s">
        <v>69</v>
      </c>
      <c r="B7" s="287"/>
      <c r="C7" s="287"/>
      <c r="D7" s="287"/>
      <c r="E7" s="287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86" t="s">
        <v>39</v>
      </c>
      <c r="B8" s="288"/>
      <c r="C8" s="288"/>
      <c r="D8" s="288"/>
      <c r="E8" s="288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93" t="s">
        <v>6</v>
      </c>
      <c r="B9" s="294"/>
      <c r="C9" s="294"/>
      <c r="D9" s="294"/>
      <c r="E9" s="295"/>
      <c r="F9" s="268"/>
      <c r="G9" s="269"/>
      <c r="H9" s="269"/>
      <c r="I9" s="269"/>
      <c r="J9" s="269"/>
      <c r="K9" s="270"/>
      <c r="L9" s="37"/>
    </row>
    <row r="10" spans="1:12" ht="15.75">
      <c r="A10" s="286" t="s">
        <v>80</v>
      </c>
      <c r="B10" s="288"/>
      <c r="C10" s="288"/>
      <c r="D10" s="288"/>
      <c r="E10" s="288"/>
      <c r="F10" s="64">
        <v>45000</v>
      </c>
      <c r="G10" s="42"/>
      <c r="H10" s="42">
        <v>20000</v>
      </c>
      <c r="I10" s="42"/>
      <c r="J10" s="42"/>
      <c r="K10" s="114"/>
      <c r="L10" s="37"/>
    </row>
    <row r="11" spans="1:12" ht="15.75">
      <c r="A11" s="286" t="s">
        <v>81</v>
      </c>
      <c r="B11" s="292"/>
      <c r="C11" s="292"/>
      <c r="D11" s="292"/>
      <c r="E11" s="292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98" t="s">
        <v>82</v>
      </c>
      <c r="B12" s="292"/>
      <c r="C12" s="292"/>
      <c r="D12" s="292"/>
      <c r="E12" s="292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96" t="s">
        <v>31</v>
      </c>
      <c r="B13" s="297"/>
      <c r="C13" s="297"/>
      <c r="D13" s="297"/>
      <c r="E13" s="297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96" t="s">
        <v>70</v>
      </c>
      <c r="B14" s="297"/>
      <c r="C14" s="297"/>
      <c r="D14" s="297"/>
      <c r="E14" s="297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96" t="s">
        <v>83</v>
      </c>
      <c r="B15" s="297"/>
      <c r="C15" s="297"/>
      <c r="D15" s="297"/>
      <c r="E15" s="297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7" t="s">
        <v>84</v>
      </c>
      <c r="B16" s="278"/>
      <c r="C16" s="278"/>
      <c r="D16" s="278"/>
      <c r="E16" s="279"/>
      <c r="F16" s="64"/>
      <c r="G16" s="42"/>
      <c r="H16" s="42"/>
      <c r="I16" s="42"/>
      <c r="J16" s="42"/>
      <c r="K16" s="113"/>
      <c r="L16" s="37"/>
    </row>
    <row r="17" spans="1:12" ht="15.75">
      <c r="A17" s="298"/>
      <c r="B17" s="292"/>
      <c r="C17" s="292"/>
      <c r="D17" s="292"/>
      <c r="E17" s="292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99" t="s">
        <v>71</v>
      </c>
      <c r="B18" s="300"/>
      <c r="C18" s="300"/>
      <c r="D18" s="300"/>
      <c r="E18" s="300"/>
      <c r="F18" s="115">
        <f aca="true" t="shared" si="0" ref="F18:K18">SUM(F8:F17)</f>
        <v>93000</v>
      </c>
      <c r="G18" s="115">
        <f t="shared" si="0"/>
        <v>0</v>
      </c>
      <c r="H18" s="115">
        <f t="shared" si="0"/>
        <v>20000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89" t="s">
        <v>88</v>
      </c>
      <c r="B22" s="290"/>
      <c r="C22" s="291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98" t="s">
        <v>6</v>
      </c>
      <c r="B23" s="292"/>
      <c r="C23" s="292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86" t="s">
        <v>86</v>
      </c>
      <c r="B24" s="288"/>
      <c r="C24" s="288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86" t="s">
        <v>85</v>
      </c>
      <c r="B25" s="288"/>
      <c r="C25" s="288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86"/>
      <c r="B26" s="288"/>
      <c r="C26" s="288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86"/>
      <c r="B27" s="288"/>
      <c r="C27" s="288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86"/>
      <c r="B28" s="288"/>
      <c r="C28" s="288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86" t="s">
        <v>87</v>
      </c>
      <c r="B29" s="288"/>
      <c r="C29" s="288"/>
      <c r="D29" s="104">
        <v>15</v>
      </c>
      <c r="E29" s="106">
        <f>(1/$D29)</f>
        <v>0.06666666666666667</v>
      </c>
      <c r="F29" s="42"/>
      <c r="G29" s="42">
        <f>F10*$E29</f>
        <v>3000</v>
      </c>
      <c r="H29" s="42">
        <f>(G10*$E29)+G29</f>
        <v>3000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7" t="s">
        <v>39</v>
      </c>
      <c r="B30" s="301"/>
      <c r="C30" s="302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86"/>
      <c r="B31" s="288"/>
      <c r="C31" s="288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99" t="s">
        <v>33</v>
      </c>
      <c r="B32" s="300"/>
      <c r="C32" s="300"/>
      <c r="D32" s="300"/>
      <c r="E32" s="300"/>
      <c r="F32" s="120"/>
      <c r="G32" s="120">
        <f>G24+G25+G29+G30</f>
        <v>4750</v>
      </c>
      <c r="H32" s="120">
        <f>H24+H25+H29+H30</f>
        <v>4750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F9:K9"/>
    <mergeCell ref="A4:E5"/>
    <mergeCell ref="A16:E16"/>
    <mergeCell ref="A2:K2"/>
    <mergeCell ref="F4:K4"/>
    <mergeCell ref="A6:E6"/>
    <mergeCell ref="F6:K6"/>
    <mergeCell ref="A7:E7"/>
    <mergeCell ref="A8:E8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1.421875" style="22" customWidth="1"/>
    <col min="7" max="7" width="11.57421875" style="22" bestFit="1" customWidth="1"/>
    <col min="8" max="16384" width="11.421875" style="22" customWidth="1"/>
  </cols>
  <sheetData>
    <row r="1" spans="1:9" ht="16.5" thickBot="1">
      <c r="A1" s="35"/>
      <c r="B1" s="125"/>
      <c r="C1" s="311"/>
      <c r="D1" s="311"/>
      <c r="E1" s="311"/>
      <c r="F1" s="125"/>
      <c r="G1" s="127"/>
      <c r="H1" s="127"/>
      <c r="I1" s="127"/>
    </row>
    <row r="2" spans="1:9" ht="25.5" customHeight="1" thickTop="1">
      <c r="A2" s="35"/>
      <c r="B2" s="312" t="s">
        <v>89</v>
      </c>
      <c r="C2" s="313"/>
      <c r="D2" s="313"/>
      <c r="E2" s="313"/>
      <c r="F2" s="313"/>
      <c r="G2" s="314"/>
      <c r="H2" s="127"/>
      <c r="I2" s="125"/>
    </row>
    <row r="3" spans="1:9" ht="27.75" customHeight="1">
      <c r="A3" s="35"/>
      <c r="B3" s="305" t="s">
        <v>11</v>
      </c>
      <c r="C3" s="306"/>
      <c r="D3" s="306"/>
      <c r="E3" s="306"/>
      <c r="F3" s="307"/>
      <c r="G3" s="137">
        <f>SUM('Inv-Amort'!F18:K18)</f>
        <v>113000</v>
      </c>
      <c r="H3" s="127"/>
      <c r="I3" s="127"/>
    </row>
    <row r="4" spans="1:9" ht="27.75" customHeight="1">
      <c r="A4" s="35"/>
      <c r="B4" s="305" t="s">
        <v>12</v>
      </c>
      <c r="C4" s="306"/>
      <c r="D4" s="306"/>
      <c r="E4" s="306"/>
      <c r="F4" s="307"/>
      <c r="G4" s="138">
        <v>60000</v>
      </c>
      <c r="H4" s="126"/>
      <c r="I4" s="128"/>
    </row>
    <row r="5" spans="1:9" ht="30.75" customHeight="1" thickBot="1">
      <c r="A5" s="35"/>
      <c r="B5" s="308" t="s">
        <v>34</v>
      </c>
      <c r="C5" s="309"/>
      <c r="D5" s="309"/>
      <c r="E5" s="309"/>
      <c r="F5" s="310"/>
      <c r="G5" s="195">
        <f>G3-G4</f>
        <v>53000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3" t="s">
        <v>113</v>
      </c>
      <c r="C8" s="304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53000</v>
      </c>
      <c r="D9" s="136"/>
      <c r="E9" s="136"/>
      <c r="F9" s="134"/>
      <c r="G9" s="136"/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9" ht="19.5" customHeight="1">
      <c r="A15" s="35"/>
      <c r="B15" s="205">
        <v>1</v>
      </c>
      <c r="C15" s="130">
        <v>1</v>
      </c>
      <c r="D15" s="131">
        <f>(C9)</f>
        <v>53000</v>
      </c>
      <c r="E15" s="132">
        <f>PPMT($C$10,C15,$C$11,$C$9)</f>
        <v>-7122.124274349603</v>
      </c>
      <c r="F15" s="131">
        <f>IPMT($C$10,C15,$C$11,$C$9)</f>
        <v>-10600</v>
      </c>
      <c r="G15" s="131">
        <f>PMT($C$10,$C$11,$C$9)</f>
        <v>-17722.124274349604</v>
      </c>
      <c r="H15" s="206">
        <f>(D15+E15)</f>
        <v>45877.875725650396</v>
      </c>
      <c r="I15" s="39"/>
    </row>
    <row r="16" spans="1:9" ht="19.5" customHeight="1">
      <c r="A16" s="35"/>
      <c r="B16" s="205">
        <v>2</v>
      </c>
      <c r="C16" s="130">
        <v>2</v>
      </c>
      <c r="D16" s="131">
        <f>(H15)</f>
        <v>45877.875725650396</v>
      </c>
      <c r="E16" s="132">
        <f>PPMT($C$10,C16,$C$11,$C$9)</f>
        <v>-8546.549129219524</v>
      </c>
      <c r="F16" s="131">
        <f>IPMT($C$10,C16,$C$11,$C$9)</f>
        <v>-9175.575145130078</v>
      </c>
      <c r="G16" s="131">
        <f>PMT($C$10,$C$11,$C$9)</f>
        <v>-17722.124274349604</v>
      </c>
      <c r="H16" s="206">
        <f>(D16+E16)</f>
        <v>37331.326596430874</v>
      </c>
      <c r="I16" s="39"/>
    </row>
    <row r="17" spans="1:9" ht="19.5" customHeight="1">
      <c r="A17" s="35"/>
      <c r="B17" s="205">
        <v>3</v>
      </c>
      <c r="C17" s="130">
        <v>3</v>
      </c>
      <c r="D17" s="131">
        <f>(H16)</f>
        <v>37331.326596430874</v>
      </c>
      <c r="E17" s="132">
        <f>PPMT($C$10,C17,$C$11,$C$9)</f>
        <v>-10255.858955063428</v>
      </c>
      <c r="F17" s="131">
        <f>IPMT($C$10,C17,$C$11,$C$9)</f>
        <v>-7466.265319286175</v>
      </c>
      <c r="G17" s="131">
        <f>PMT($C$10,$C$11,$C$9)</f>
        <v>-17722.124274349604</v>
      </c>
      <c r="H17" s="206">
        <f>(D17+E17)</f>
        <v>27075.467641367446</v>
      </c>
      <c r="I17" s="39"/>
    </row>
    <row r="18" spans="1:9" ht="19.5" customHeight="1">
      <c r="A18" s="35"/>
      <c r="B18" s="205">
        <v>4</v>
      </c>
      <c r="C18" s="130">
        <v>4</v>
      </c>
      <c r="D18" s="131">
        <f>(H17)</f>
        <v>27075.467641367446</v>
      </c>
      <c r="E18" s="132">
        <f>PPMT($C$10,C18,$C$11,$C$9)</f>
        <v>-12307.030746076112</v>
      </c>
      <c r="F18" s="131">
        <f>IPMT($C$10,C18,$C$11,$C$9)</f>
        <v>-5415.09352827349</v>
      </c>
      <c r="G18" s="131">
        <f>PMT($C$10,$C$11,$C$9)</f>
        <v>-17722.124274349604</v>
      </c>
      <c r="H18" s="206">
        <f>(D18+E18)</f>
        <v>14768.436895291334</v>
      </c>
      <c r="I18" s="39"/>
    </row>
    <row r="19" spans="1:9" ht="19.5" customHeight="1" thickBot="1">
      <c r="A19" s="35"/>
      <c r="B19" s="207">
        <v>5</v>
      </c>
      <c r="C19" s="208">
        <v>5</v>
      </c>
      <c r="D19" s="120">
        <f>(H18)</f>
        <v>14768.436895291334</v>
      </c>
      <c r="E19" s="209">
        <f>PPMT($C$10,C19,$C$11,$C$9)</f>
        <v>-14768.436895291336</v>
      </c>
      <c r="F19" s="120">
        <f>IPMT($C$10,C19,$C$11,$C$9)</f>
        <v>-2953.687379058267</v>
      </c>
      <c r="G19" s="120">
        <f>PMT($C$10,$C$11,$C$9)</f>
        <v>-17722.124274349604</v>
      </c>
      <c r="H19" s="121">
        <f>(D19+E19)</f>
        <v>-1.8189894035458565E-12</v>
      </c>
      <c r="I19" s="39"/>
    </row>
    <row r="20" spans="1:9" ht="16.5" thickTop="1">
      <c r="A20" s="35"/>
      <c r="E20" s="210">
        <f>SUM(E15:E19)</f>
        <v>-53000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15"/>
      <c r="C1" s="315"/>
      <c r="D1" s="315"/>
      <c r="G1" s="212"/>
    </row>
    <row r="2" spans="1:19" ht="49.5" customHeight="1" thickBot="1">
      <c r="A2" s="321" t="s">
        <v>77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19" ht="17.25" customHeight="1" thickBot="1" thickTop="1">
      <c r="A3" s="325" t="s">
        <v>50</v>
      </c>
      <c r="B3" s="214"/>
      <c r="C3" s="323" t="s">
        <v>45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8" t="s">
        <v>53</v>
      </c>
      <c r="Q3" s="328"/>
      <c r="R3" s="328"/>
      <c r="S3" s="329"/>
    </row>
    <row r="4" spans="1:19" ht="21" customHeight="1" thickBot="1">
      <c r="A4" s="326"/>
      <c r="B4" s="215" t="s">
        <v>1</v>
      </c>
      <c r="C4" s="330" t="s">
        <v>46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2" t="s">
        <v>47</v>
      </c>
      <c r="P4" s="332" t="s">
        <v>48</v>
      </c>
      <c r="Q4" s="332" t="s">
        <v>49</v>
      </c>
      <c r="R4" s="332" t="s">
        <v>51</v>
      </c>
      <c r="S4" s="334" t="s">
        <v>52</v>
      </c>
    </row>
    <row r="5" spans="1:19" ht="16.5" thickBot="1">
      <c r="A5" s="327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33"/>
      <c r="P5" s="333"/>
      <c r="Q5" s="333"/>
      <c r="R5" s="333"/>
      <c r="S5" s="335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28">
        <v>200</v>
      </c>
      <c r="D8" s="228">
        <v>200</v>
      </c>
      <c r="E8" s="228">
        <v>400</v>
      </c>
      <c r="F8" s="228">
        <v>400</v>
      </c>
      <c r="G8" s="228">
        <v>450</v>
      </c>
      <c r="H8" s="228">
        <v>450</v>
      </c>
      <c r="I8" s="228">
        <v>450</v>
      </c>
      <c r="J8" s="228">
        <v>450</v>
      </c>
      <c r="K8" s="228">
        <v>450</v>
      </c>
      <c r="L8" s="228">
        <v>450</v>
      </c>
      <c r="M8" s="228">
        <v>450</v>
      </c>
      <c r="N8" s="228">
        <v>450</v>
      </c>
      <c r="O8" s="228">
        <f>SUM(C8:N8)</f>
        <v>4800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9000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216000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16"/>
      <c r="I24" s="316"/>
      <c r="J24" s="316"/>
      <c r="K24" s="316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17"/>
      <c r="H26" s="318"/>
      <c r="I26" s="317"/>
      <c r="J26" s="317"/>
      <c r="K26" s="317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18"/>
      <c r="H27" s="318"/>
      <c r="I27" s="319"/>
      <c r="J27" s="317"/>
      <c r="K27" s="321"/>
      <c r="L27" s="319"/>
      <c r="M27" s="317"/>
      <c r="N27" s="321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18"/>
      <c r="H28" s="318"/>
      <c r="I28" s="320"/>
      <c r="J28" s="317"/>
      <c r="K28" s="322"/>
      <c r="L28" s="320"/>
      <c r="M28" s="317"/>
      <c r="N28" s="322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1">
      <selection activeCell="C9" sqref="C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6" t="s">
        <v>78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5.75" thickBot="1">
      <c r="A2" s="143"/>
    </row>
    <row r="3" spans="1:18" ht="19.5" customHeight="1" thickTop="1">
      <c r="A3" s="345" t="s">
        <v>50</v>
      </c>
      <c r="B3" s="343" t="s">
        <v>45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37" t="s">
        <v>53</v>
      </c>
      <c r="P3" s="337"/>
      <c r="Q3" s="337"/>
      <c r="R3" s="338"/>
    </row>
    <row r="4" spans="1:18" ht="19.5" customHeight="1">
      <c r="A4" s="346"/>
      <c r="B4" s="344" t="s">
        <v>46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39" t="s">
        <v>47</v>
      </c>
      <c r="O4" s="339" t="s">
        <v>48</v>
      </c>
      <c r="P4" s="339" t="s">
        <v>49</v>
      </c>
      <c r="Q4" s="339" t="s">
        <v>51</v>
      </c>
      <c r="R4" s="341" t="s">
        <v>52</v>
      </c>
    </row>
    <row r="5" spans="1:18" ht="19.5" customHeight="1" thickBot="1">
      <c r="A5" s="347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40"/>
      <c r="O5" s="340"/>
      <c r="P5" s="340"/>
      <c r="Q5" s="340"/>
      <c r="R5" s="342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="75" zoomScaleNormal="75" zoomScalePageLayoutView="0" workbookViewId="0" topLeftCell="A4">
      <selection activeCell="G18" sqref="G18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48" t="s">
        <v>42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ht="15" thickBot="1"/>
    <row r="4" spans="1:19" s="97" customFormat="1" ht="34.5" customHeight="1" thickTop="1">
      <c r="A4" s="349" t="s">
        <v>50</v>
      </c>
      <c r="B4" s="100"/>
      <c r="C4" s="352" t="s">
        <v>45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4"/>
      <c r="P4" s="352" t="s">
        <v>53</v>
      </c>
      <c r="Q4" s="353"/>
      <c r="R4" s="353"/>
      <c r="S4" s="355"/>
    </row>
    <row r="5" spans="1:19" s="97" customFormat="1" ht="22.5" customHeight="1">
      <c r="A5" s="350"/>
      <c r="B5" s="172" t="s">
        <v>1</v>
      </c>
      <c r="C5" s="356" t="s">
        <v>46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  <c r="O5" s="359" t="s">
        <v>47</v>
      </c>
      <c r="P5" s="359" t="s">
        <v>48</v>
      </c>
      <c r="Q5" s="359" t="s">
        <v>49</v>
      </c>
      <c r="R5" s="359" t="s">
        <v>51</v>
      </c>
      <c r="S5" s="360" t="s">
        <v>52</v>
      </c>
    </row>
    <row r="6" spans="1:19" ht="23.25" customHeight="1">
      <c r="A6" s="351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59"/>
      <c r="P6" s="359"/>
      <c r="Q6" s="359"/>
      <c r="R6" s="359"/>
      <c r="S6" s="360"/>
    </row>
    <row r="7" spans="1:19" ht="30" customHeight="1">
      <c r="A7" s="253" t="s">
        <v>115</v>
      </c>
      <c r="B7" s="98"/>
      <c r="C7" s="170">
        <f>Ingresos!C9</f>
        <v>9000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216000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395.8333333333333</v>
      </c>
      <c r="D9" s="170">
        <f>'Inv-Amort'!$G$32/12</f>
        <v>395.8333333333333</v>
      </c>
      <c r="E9" s="170">
        <f>'Inv-Amort'!$G$32/12</f>
        <v>395.8333333333333</v>
      </c>
      <c r="F9" s="170">
        <f>'Inv-Amort'!$G$32/12</f>
        <v>395.8333333333333</v>
      </c>
      <c r="G9" s="170">
        <f>'Inv-Amort'!$G$32/12</f>
        <v>395.8333333333333</v>
      </c>
      <c r="H9" s="170">
        <f>'Inv-Amort'!$G$32/12</f>
        <v>395.8333333333333</v>
      </c>
      <c r="I9" s="170">
        <f>'Inv-Amort'!$G$32/12</f>
        <v>395.8333333333333</v>
      </c>
      <c r="J9" s="170">
        <f>'Inv-Amort'!$G$32/12</f>
        <v>395.8333333333333</v>
      </c>
      <c r="K9" s="170">
        <f>'Inv-Amort'!$G$32/12</f>
        <v>395.8333333333333</v>
      </c>
      <c r="L9" s="170">
        <f>'Inv-Amort'!$G$32/12</f>
        <v>395.8333333333333</v>
      </c>
      <c r="M9" s="170">
        <f>'Inv-Amort'!$G$32/12</f>
        <v>395.8333333333333</v>
      </c>
      <c r="N9" s="170">
        <f>'Inv-Amort'!$G$32/12</f>
        <v>395.8333333333333</v>
      </c>
      <c r="O9" s="170">
        <f>SUM(C9:N9)</f>
        <v>4750</v>
      </c>
      <c r="P9" s="170">
        <f>'Inv-Amort'!H32</f>
        <v>4750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883.3333333333334</v>
      </c>
      <c r="D10" s="175">
        <f>-Financiamiento!$F$15/12</f>
        <v>883.3333333333334</v>
      </c>
      <c r="E10" s="175">
        <f>-Financiamiento!$F$15/12</f>
        <v>883.3333333333334</v>
      </c>
      <c r="F10" s="175">
        <f>-Financiamiento!$F$15/12</f>
        <v>883.3333333333334</v>
      </c>
      <c r="G10" s="175">
        <f>-Financiamiento!$F$15/12</f>
        <v>883.3333333333334</v>
      </c>
      <c r="H10" s="175">
        <f>-Financiamiento!$F$15/12</f>
        <v>883.3333333333334</v>
      </c>
      <c r="I10" s="175">
        <f>-Financiamiento!$F$15/12</f>
        <v>883.3333333333334</v>
      </c>
      <c r="J10" s="175">
        <f>-Financiamiento!$F$15/12</f>
        <v>883.3333333333334</v>
      </c>
      <c r="K10" s="175">
        <f>-Financiamiento!$F$15/12</f>
        <v>883.3333333333334</v>
      </c>
      <c r="L10" s="175">
        <f>-Financiamiento!$F$15/12</f>
        <v>883.3333333333334</v>
      </c>
      <c r="M10" s="175">
        <f>-Financiamiento!$F$15/12</f>
        <v>883.3333333333334</v>
      </c>
      <c r="N10" s="175">
        <f>-Financiamiento!$F$15/12</f>
        <v>883.3333333333334</v>
      </c>
      <c r="O10" s="175">
        <f>SUM(C10:N10)</f>
        <v>10600</v>
      </c>
      <c r="P10" s="175">
        <f>-(Financiamiento!F16)</f>
        <v>9175.575145130078</v>
      </c>
      <c r="Q10" s="175">
        <f>-(Financiamiento!F17)</f>
        <v>7466.265319286175</v>
      </c>
      <c r="R10" s="175">
        <f>-(Financiamiento!F18)</f>
        <v>5415.09352827349</v>
      </c>
      <c r="S10" s="176">
        <f>-(Financiamiento!F19)</f>
        <v>2953.687379058267</v>
      </c>
    </row>
    <row r="11" spans="1:19" ht="30" customHeight="1" thickTop="1">
      <c r="A11" s="255" t="s">
        <v>67</v>
      </c>
      <c r="B11" s="180"/>
      <c r="C11" s="181">
        <f>C7-C8-C9-C10</f>
        <v>7220.833333333334</v>
      </c>
      <c r="D11" s="181">
        <f aca="true" t="shared" si="0" ref="D11:S11">D7-D8-D9-D10</f>
        <v>3720.8333333333335</v>
      </c>
      <c r="E11" s="181">
        <f t="shared" si="0"/>
        <v>12720.833333333332</v>
      </c>
      <c r="F11" s="181">
        <f t="shared" si="0"/>
        <v>12720.833333333332</v>
      </c>
      <c r="G11" s="181">
        <f t="shared" si="0"/>
        <v>8670.833333333332</v>
      </c>
      <c r="H11" s="181">
        <f t="shared" si="0"/>
        <v>8370.833333333332</v>
      </c>
      <c r="I11" s="181">
        <f t="shared" si="0"/>
        <v>8170.833333333333</v>
      </c>
      <c r="J11" s="181">
        <f t="shared" si="0"/>
        <v>8170.833333333333</v>
      </c>
      <c r="K11" s="181">
        <f t="shared" si="0"/>
        <v>7670.833333333333</v>
      </c>
      <c r="L11" s="181">
        <f t="shared" si="0"/>
        <v>7670.833333333333</v>
      </c>
      <c r="M11" s="181">
        <f t="shared" si="0"/>
        <v>7470.833333333333</v>
      </c>
      <c r="N11" s="181">
        <f t="shared" si="0"/>
        <v>7470.833333333333</v>
      </c>
      <c r="O11" s="181">
        <f t="shared" si="0"/>
        <v>76050</v>
      </c>
      <c r="P11" s="181">
        <f t="shared" si="0"/>
        <v>84674.42485486993</v>
      </c>
      <c r="Q11" s="181">
        <f t="shared" si="0"/>
        <v>75050.4013473805</v>
      </c>
      <c r="R11" s="181">
        <f t="shared" si="0"/>
        <v>127201.57313839317</v>
      </c>
      <c r="S11" s="182">
        <f t="shared" si="0"/>
        <v>76962.97928760841</v>
      </c>
    </row>
    <row r="12" spans="1:19" ht="30" customHeight="1" thickBot="1">
      <c r="A12" s="264" t="s">
        <v>9</v>
      </c>
      <c r="B12" s="265">
        <v>0.35</v>
      </c>
      <c r="C12" s="266">
        <v>0</v>
      </c>
      <c r="D12" s="266">
        <v>0</v>
      </c>
      <c r="E12" s="266">
        <v>0</v>
      </c>
      <c r="F12" s="266">
        <v>0</v>
      </c>
      <c r="G12" s="266">
        <f aca="true" t="shared" si="1" ref="G12:S12">IF(G11&lt;0,0,G11*$B$12)</f>
        <v>3034.791666666666</v>
      </c>
      <c r="H12" s="266">
        <f t="shared" si="1"/>
        <v>2929.791666666666</v>
      </c>
      <c r="I12" s="266">
        <f t="shared" si="1"/>
        <v>2859.7916666666665</v>
      </c>
      <c r="J12" s="266">
        <f t="shared" si="1"/>
        <v>2859.7916666666665</v>
      </c>
      <c r="K12" s="266">
        <f t="shared" si="1"/>
        <v>2684.7916666666665</v>
      </c>
      <c r="L12" s="266">
        <f t="shared" si="1"/>
        <v>2684.7916666666665</v>
      </c>
      <c r="M12" s="266">
        <f t="shared" si="1"/>
        <v>2614.7916666666665</v>
      </c>
      <c r="N12" s="266">
        <f t="shared" si="1"/>
        <v>2614.7916666666665</v>
      </c>
      <c r="O12" s="266">
        <f>SUM(C12:N12)</f>
        <v>22283.333333333332</v>
      </c>
      <c r="P12" s="266">
        <f t="shared" si="1"/>
        <v>29636.04869920447</v>
      </c>
      <c r="Q12" s="266">
        <f t="shared" si="1"/>
        <v>26267.64047158317</v>
      </c>
      <c r="R12" s="266">
        <f t="shared" si="1"/>
        <v>44520.55059843761</v>
      </c>
      <c r="S12" s="267">
        <f t="shared" si="1"/>
        <v>26937.042750662942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7220.833333333334</v>
      </c>
      <c r="D13" s="178">
        <f t="shared" si="2"/>
        <v>3720.8333333333335</v>
      </c>
      <c r="E13" s="178">
        <f t="shared" si="2"/>
        <v>12720.833333333332</v>
      </c>
      <c r="F13" s="178">
        <f t="shared" si="2"/>
        <v>12720.833333333332</v>
      </c>
      <c r="G13" s="178">
        <f t="shared" si="2"/>
        <v>5636.041666666666</v>
      </c>
      <c r="H13" s="178">
        <f t="shared" si="2"/>
        <v>5441.041666666666</v>
      </c>
      <c r="I13" s="178">
        <f t="shared" si="2"/>
        <v>5311.041666666666</v>
      </c>
      <c r="J13" s="178">
        <f aca="true" t="shared" si="3" ref="J13:S13">J11-J12</f>
        <v>5311.041666666666</v>
      </c>
      <c r="K13" s="178">
        <f t="shared" si="3"/>
        <v>4986.041666666666</v>
      </c>
      <c r="L13" s="178">
        <f t="shared" si="3"/>
        <v>4986.041666666666</v>
      </c>
      <c r="M13" s="178">
        <f t="shared" si="3"/>
        <v>4856.041666666666</v>
      </c>
      <c r="N13" s="178">
        <f t="shared" si="3"/>
        <v>4856.041666666666</v>
      </c>
      <c r="O13" s="178">
        <f t="shared" si="3"/>
        <v>53766.66666666667</v>
      </c>
      <c r="P13" s="178">
        <f t="shared" si="3"/>
        <v>55038.37615566545</v>
      </c>
      <c r="Q13" s="178">
        <f t="shared" si="3"/>
        <v>48782.76087579732</v>
      </c>
      <c r="R13" s="178">
        <f t="shared" si="3"/>
        <v>82681.02253995556</v>
      </c>
      <c r="S13" s="179">
        <f t="shared" si="3"/>
        <v>50025.93653694547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264" t="s">
        <v>9</v>
      </c>
      <c r="B18" s="265">
        <v>0.35</v>
      </c>
      <c r="C18" s="266">
        <v>0</v>
      </c>
      <c r="D18" s="266">
        <v>0</v>
      </c>
      <c r="E18" s="266">
        <v>0</v>
      </c>
      <c r="F18" s="266">
        <v>0</v>
      </c>
      <c r="G18" s="266">
        <f>(G7-G8-G9)*$B$12</f>
        <v>3343.958333333333</v>
      </c>
      <c r="H18" s="266">
        <f aca="true" t="shared" si="4" ref="H18:N18">(H7-H8-H9)*$B$12</f>
        <v>3238.958333333333</v>
      </c>
      <c r="I18" s="266">
        <f t="shared" si="4"/>
        <v>3168.958333333333</v>
      </c>
      <c r="J18" s="266">
        <f t="shared" si="4"/>
        <v>3168.958333333333</v>
      </c>
      <c r="K18" s="266">
        <f t="shared" si="4"/>
        <v>2993.958333333333</v>
      </c>
      <c r="L18" s="266">
        <f t="shared" si="4"/>
        <v>2993.958333333333</v>
      </c>
      <c r="M18" s="266">
        <f t="shared" si="4"/>
        <v>2923.958333333333</v>
      </c>
      <c r="N18" s="266">
        <f t="shared" si="4"/>
        <v>2923.958333333333</v>
      </c>
      <c r="O18" s="266">
        <f>SUM(C18:N18)</f>
        <v>24756.66666666666</v>
      </c>
      <c r="P18" s="266">
        <f>(P7-P8-P9)*$B$18</f>
        <v>32847.5</v>
      </c>
      <c r="Q18" s="266">
        <f>(Q7-Q8-Q9)*$B$18</f>
        <v>28880.833333333332</v>
      </c>
      <c r="R18" s="266">
        <f>(R7-R8-R9)*$B$18</f>
        <v>46415.83333333333</v>
      </c>
      <c r="S18" s="266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PageLayoutView="0" workbookViewId="0" topLeftCell="A1">
      <selection activeCell="D16" sqref="D16:H16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1" t="s">
        <v>106</v>
      </c>
      <c r="C1" s="361"/>
      <c r="D1" s="361"/>
      <c r="E1" s="361"/>
      <c r="F1" s="361"/>
      <c r="G1" s="361"/>
      <c r="H1" s="361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59" t="s">
        <v>104</v>
      </c>
      <c r="D3" s="359" t="s">
        <v>47</v>
      </c>
      <c r="E3" s="359" t="s">
        <v>48</v>
      </c>
      <c r="F3" s="359" t="s">
        <v>49</v>
      </c>
      <c r="G3" s="359" t="s">
        <v>51</v>
      </c>
      <c r="H3" s="366" t="s">
        <v>52</v>
      </c>
    </row>
    <row r="4" spans="2:8" ht="14.25">
      <c r="B4" s="363"/>
      <c r="C4" s="359"/>
      <c r="D4" s="359"/>
      <c r="E4" s="359"/>
      <c r="F4" s="359"/>
      <c r="G4" s="359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400">
        <f>'Cuadro de Resultados'!O18</f>
        <v>24756.66666666666</v>
      </c>
      <c r="E7" s="400">
        <f>'Cuadro de Resultados'!P18</f>
        <v>32847.5</v>
      </c>
      <c r="F7" s="400">
        <f>'Cuadro de Resultados'!Q18</f>
        <v>28880.833333333332</v>
      </c>
      <c r="G7" s="400">
        <f>'Cuadro de Resultados'!R18</f>
        <v>46415.83333333333</v>
      </c>
      <c r="H7" s="400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66643.33333333334</v>
      </c>
      <c r="E9" s="184">
        <f>E5-E6-E7-E8</f>
        <v>45752.5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0.6056518368908423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59" t="s">
        <v>104</v>
      </c>
      <c r="D12" s="359" t="s">
        <v>47</v>
      </c>
      <c r="E12" s="359" t="s">
        <v>48</v>
      </c>
      <c r="F12" s="359" t="s">
        <v>49</v>
      </c>
      <c r="G12" s="359" t="s">
        <v>51</v>
      </c>
      <c r="H12" s="366" t="s">
        <v>52</v>
      </c>
    </row>
    <row r="13" spans="2:8" ht="14.25">
      <c r="B13" s="363"/>
      <c r="C13" s="359"/>
      <c r="D13" s="359"/>
      <c r="E13" s="359"/>
      <c r="F13" s="359"/>
      <c r="G13" s="359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400">
        <f>'Cuadro de Resultados'!O12</f>
        <v>22283.333333333332</v>
      </c>
      <c r="E16" s="400">
        <f>'Cuadro de Resultados'!P12</f>
        <v>29636.04869920447</v>
      </c>
      <c r="F16" s="400">
        <f>'Cuadro de Resultados'!Q12</f>
        <v>26267.64047158317</v>
      </c>
      <c r="G16" s="400">
        <f>'Cuadro de Resultados'!R12</f>
        <v>44520.55059843761</v>
      </c>
      <c r="H16" s="400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59" t="s">
        <v>104</v>
      </c>
      <c r="D24" s="359" t="s">
        <v>47</v>
      </c>
      <c r="E24" s="359" t="s">
        <v>48</v>
      </c>
      <c r="F24" s="359" t="s">
        <v>49</v>
      </c>
      <c r="G24" s="359" t="s">
        <v>51</v>
      </c>
      <c r="H24" s="366" t="s">
        <v>52</v>
      </c>
    </row>
    <row r="25" spans="2:8" ht="14.25">
      <c r="B25" s="363"/>
      <c r="C25" s="359"/>
      <c r="D25" s="359"/>
      <c r="E25" s="359"/>
      <c r="F25" s="359"/>
      <c r="G25" s="359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15248.790941016276</v>
      </c>
      <c r="E26" s="93">
        <f t="shared" si="0"/>
        <v>14510.672973554076</v>
      </c>
      <c r="F26" s="93">
        <f t="shared" si="0"/>
        <v>15108.93141259945</v>
      </c>
      <c r="G26" s="93">
        <f t="shared" si="0"/>
        <v>15826.841539453875</v>
      </c>
      <c r="H26" s="94">
        <f t="shared" si="0"/>
        <v>16688.333691679218</v>
      </c>
      <c r="I26" s="263" t="s">
        <v>123</v>
      </c>
      <c r="J26" s="261">
        <f>IRR(C26:H26)</f>
        <v>0.1382847018160236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23:B25"/>
    <mergeCell ref="C23:H23"/>
    <mergeCell ref="C24:C25"/>
    <mergeCell ref="D24:D25"/>
    <mergeCell ref="E24:E25"/>
    <mergeCell ref="F24:F25"/>
    <mergeCell ref="G24:G25"/>
    <mergeCell ref="H24:H25"/>
    <mergeCell ref="B11:B13"/>
    <mergeCell ref="C11:H11"/>
    <mergeCell ref="C12:C13"/>
    <mergeCell ref="D12:D13"/>
    <mergeCell ref="E12:E13"/>
    <mergeCell ref="F12:F13"/>
    <mergeCell ref="G12:G13"/>
    <mergeCell ref="H12:H13"/>
    <mergeCell ref="B1:H1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22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1" t="s">
        <v>106</v>
      </c>
      <c r="C1" s="361"/>
      <c r="D1" s="361"/>
      <c r="E1" s="361"/>
      <c r="F1" s="361"/>
      <c r="G1" s="361"/>
      <c r="H1" s="361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59" t="s">
        <v>104</v>
      </c>
      <c r="D3" s="359" t="s">
        <v>47</v>
      </c>
      <c r="E3" s="359" t="s">
        <v>48</v>
      </c>
      <c r="F3" s="359" t="s">
        <v>49</v>
      </c>
      <c r="G3" s="359" t="s">
        <v>51</v>
      </c>
      <c r="H3" s="366" t="s">
        <v>52</v>
      </c>
    </row>
    <row r="4" spans="2:8" ht="14.25">
      <c r="B4" s="363"/>
      <c r="C4" s="359"/>
      <c r="D4" s="359"/>
      <c r="E4" s="359"/>
      <c r="F4" s="359"/>
      <c r="G4" s="359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22283.333333333332</v>
      </c>
      <c r="E7" s="258">
        <f>'Cuadro de Resultados'!P12</f>
        <v>29636.04869920447</v>
      </c>
      <c r="F7" s="258">
        <f>'Cuadro de Resultados'!Q12</f>
        <v>26267.64047158317</v>
      </c>
      <c r="G7" s="258">
        <f>'Cuadro de Resultados'!R12</f>
        <v>44520.55059843761</v>
      </c>
      <c r="H7" s="259">
        <f>'Cuadro de Resultados'!S12</f>
        <v>26937.042750662942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69116.66666666667</v>
      </c>
      <c r="E9" s="184">
        <f>E5-E6-E7-E8</f>
        <v>48963.951300795525</v>
      </c>
      <c r="F9" s="184">
        <f>F5-F6-F7-F8</f>
        <v>62332.359528416826</v>
      </c>
      <c r="G9" s="184">
        <f>G5-G6-G7-G8</f>
        <v>94179.4494015624</v>
      </c>
      <c r="H9" s="185">
        <f>H5-H6-H7-H8</f>
        <v>59062.95724933706</v>
      </c>
      <c r="I9" s="263" t="s">
        <v>123</v>
      </c>
      <c r="J9" s="260">
        <f>IRR(C9:H9)</f>
        <v>0.6356974310998647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59" t="s">
        <v>104</v>
      </c>
      <c r="D12" s="359" t="s">
        <v>47</v>
      </c>
      <c r="E12" s="359" t="s">
        <v>48</v>
      </c>
      <c r="F12" s="359" t="s">
        <v>49</v>
      </c>
      <c r="G12" s="359" t="s">
        <v>51</v>
      </c>
      <c r="H12" s="366" t="s">
        <v>52</v>
      </c>
    </row>
    <row r="13" spans="2:8" ht="14.25">
      <c r="B13" s="363"/>
      <c r="C13" s="359"/>
      <c r="D13" s="359"/>
      <c r="E13" s="359"/>
      <c r="F13" s="359"/>
      <c r="G13" s="359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59" t="s">
        <v>104</v>
      </c>
      <c r="D24" s="359" t="s">
        <v>47</v>
      </c>
      <c r="E24" s="359" t="s">
        <v>48</v>
      </c>
      <c r="F24" s="359" t="s">
        <v>49</v>
      </c>
      <c r="G24" s="359" t="s">
        <v>51</v>
      </c>
      <c r="H24" s="366" t="s">
        <v>52</v>
      </c>
    </row>
    <row r="25" spans="2:8" ht="14.25">
      <c r="B25" s="363"/>
      <c r="C25" s="359"/>
      <c r="D25" s="359"/>
      <c r="E25" s="359"/>
      <c r="F25" s="359"/>
      <c r="G25" s="359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17722.124274349604</v>
      </c>
      <c r="E26" s="93">
        <f t="shared" si="0"/>
        <v>17722.1242743496</v>
      </c>
      <c r="F26" s="93">
        <f t="shared" si="0"/>
        <v>17722.124274349604</v>
      </c>
      <c r="G26" s="93">
        <f t="shared" si="0"/>
        <v>17722.124274349597</v>
      </c>
      <c r="H26" s="94">
        <f t="shared" si="0"/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G24:G25"/>
    <mergeCell ref="H24:H25"/>
    <mergeCell ref="C24:C25"/>
    <mergeCell ref="D24:D25"/>
    <mergeCell ref="E24:E25"/>
    <mergeCell ref="F24:F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1" t="s">
        <v>43</v>
      </c>
      <c r="C2" s="361"/>
      <c r="D2" s="361"/>
      <c r="E2" s="361"/>
      <c r="F2" s="361"/>
      <c r="G2" s="361"/>
      <c r="H2" s="361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4" t="s">
        <v>15</v>
      </c>
      <c r="C4" s="375"/>
      <c r="D4" s="375"/>
      <c r="E4" s="375"/>
      <c r="F4" s="375"/>
      <c r="G4" s="375"/>
      <c r="H4" s="376"/>
    </row>
    <row r="5" spans="1:13" ht="15">
      <c r="A5" s="5"/>
      <c r="B5" s="398" t="s">
        <v>22</v>
      </c>
      <c r="C5" s="396">
        <v>0</v>
      </c>
      <c r="D5" s="359" t="s">
        <v>47</v>
      </c>
      <c r="E5" s="359" t="s">
        <v>48</v>
      </c>
      <c r="F5" s="359" t="s">
        <v>49</v>
      </c>
      <c r="G5" s="359" t="s">
        <v>51</v>
      </c>
      <c r="H5" s="372" t="s">
        <v>52</v>
      </c>
      <c r="J5" s="81">
        <f>Financiamiento!I4</f>
        <v>0</v>
      </c>
      <c r="L5" s="85" t="e">
        <f>L25*J6+L18*J5</f>
        <v>#REF!</v>
      </c>
      <c r="M5" s="385"/>
    </row>
    <row r="6" spans="1:13" ht="15.75" thickBot="1">
      <c r="A6" s="5"/>
      <c r="B6" s="399"/>
      <c r="C6" s="397"/>
      <c r="D6" s="371"/>
      <c r="E6" s="371"/>
      <c r="F6" s="371"/>
      <c r="G6" s="371"/>
      <c r="H6" s="373"/>
      <c r="J6" s="81" t="e">
        <f>Financiamiento!#REF!</f>
        <v>#REF!</v>
      </c>
      <c r="M6" s="386"/>
    </row>
    <row r="7" spans="1:8" ht="15">
      <c r="A7" s="6"/>
      <c r="B7" s="32" t="s">
        <v>10</v>
      </c>
      <c r="C7" s="33"/>
      <c r="D7" s="33">
        <f>('Cuadro de Resultados'!O13)</f>
        <v>53766.66666666667</v>
      </c>
      <c r="E7" s="33">
        <f>('Cuadro de Resultados'!P13)</f>
        <v>55038.37615566545</v>
      </c>
      <c r="F7" s="33">
        <f>('Cuadro de Resultados'!Q13)</f>
        <v>48782.76087579732</v>
      </c>
      <c r="G7" s="33">
        <f>('Cuadro de Resultados'!R13)</f>
        <v>82681.02253995556</v>
      </c>
      <c r="H7" s="34">
        <f>('Cuadro de Resultados'!S13)</f>
        <v>50025.93653694547</v>
      </c>
    </row>
    <row r="8" spans="1:9" ht="15">
      <c r="A8" s="6"/>
      <c r="B8" s="28" t="s">
        <v>44</v>
      </c>
      <c r="C8" s="11"/>
      <c r="D8" s="10">
        <f>('Cuadro de Resultados'!O12)</f>
        <v>22283.333333333332</v>
      </c>
      <c r="E8" s="10">
        <f>('Cuadro de Resultados'!P12)</f>
        <v>29636.04869920447</v>
      </c>
      <c r="F8" s="10">
        <f>('Cuadro de Resultados'!Q12)</f>
        <v>26267.64047158317</v>
      </c>
      <c r="G8" s="10">
        <f>('Cuadro de Resultados'!R12)</f>
        <v>44520.55059843761</v>
      </c>
      <c r="H8" s="27">
        <f>('Cuadro de Resultados'!S12)</f>
        <v>26937.042750662942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10600</v>
      </c>
      <c r="E9" s="10">
        <f>('Cuadro de Resultados'!P10)</f>
        <v>9175.575145130078</v>
      </c>
      <c r="F9" s="10">
        <f>('Cuadro de Resultados'!Q10)</f>
        <v>7466.265319286175</v>
      </c>
      <c r="G9" s="10">
        <f>('Cuadro de Resultados'!R10)</f>
        <v>5415.09352827349</v>
      </c>
      <c r="H9" s="27">
        <f>('Cuadro de Resultados'!S10)</f>
        <v>2953.687379058267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86650</v>
      </c>
      <c r="E10" s="10">
        <f>SUM(E7:E9)</f>
        <v>93850</v>
      </c>
      <c r="F10" s="10">
        <f>SUM(F7:F9)</f>
        <v>82516.66666666667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4750</v>
      </c>
      <c r="E11" s="10">
        <f>('Cuadro de Resultados'!P9)</f>
        <v>4750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-93000</v>
      </c>
      <c r="D12" s="10">
        <f>-('Inv-Amort'!G18)</f>
        <v>0</v>
      </c>
      <c r="E12" s="10">
        <f>-('Inv-Amort'!H18)</f>
        <v>-20000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-93000</v>
      </c>
      <c r="D13" s="10">
        <f t="shared" si="0"/>
        <v>91400</v>
      </c>
      <c r="E13" s="10">
        <f t="shared" si="0"/>
        <v>78600</v>
      </c>
      <c r="F13" s="10">
        <f t="shared" si="0"/>
        <v>88600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0.9405810443292046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81" t="s">
        <v>24</v>
      </c>
      <c r="C15" s="383">
        <v>0</v>
      </c>
      <c r="D15" s="359" t="s">
        <v>47</v>
      </c>
      <c r="E15" s="359" t="s">
        <v>48</v>
      </c>
      <c r="F15" s="359" t="s">
        <v>49</v>
      </c>
      <c r="G15" s="359" t="s">
        <v>51</v>
      </c>
      <c r="H15" s="372" t="s">
        <v>52</v>
      </c>
    </row>
    <row r="16" spans="1:8" ht="15">
      <c r="A16" s="6"/>
      <c r="B16" s="382"/>
      <c r="C16" s="384"/>
      <c r="D16" s="359"/>
      <c r="E16" s="359"/>
      <c r="F16" s="359"/>
      <c r="G16" s="359"/>
      <c r="H16" s="372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53766.66666666667</v>
      </c>
      <c r="E17" s="33">
        <f t="shared" si="1"/>
        <v>55038.37615566545</v>
      </c>
      <c r="F17" s="33">
        <f t="shared" si="1"/>
        <v>48782.76087579732</v>
      </c>
      <c r="G17" s="33">
        <f t="shared" si="1"/>
        <v>82681.02253995556</v>
      </c>
      <c r="H17" s="34">
        <f t="shared" si="1"/>
        <v>50025.93653694547</v>
      </c>
      <c r="J17" s="79">
        <f>C21</f>
        <v>53000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22283.333333333332</v>
      </c>
      <c r="E18" s="33">
        <f>('Cuadro de Resultados'!P12)</f>
        <v>29636.04869920447</v>
      </c>
      <c r="F18" s="33">
        <f>('Cuadro de Resultados'!Q12)</f>
        <v>26267.64047158317</v>
      </c>
      <c r="G18" s="33">
        <f>('Cuadro de Resultados'!R12)</f>
        <v>44520.55059843761</v>
      </c>
      <c r="H18" s="33">
        <f>('Cuadro de Resultados'!S12)</f>
        <v>26937.042750662942</v>
      </c>
      <c r="J18" s="79">
        <f>SUM(D22:H22)</f>
        <v>53000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4750</v>
      </c>
      <c r="E19" s="10">
        <f t="shared" si="2"/>
        <v>4750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104892.86150628774</v>
      </c>
    </row>
    <row r="20" spans="1:8" ht="15">
      <c r="A20" s="6"/>
      <c r="B20" s="74" t="s">
        <v>95</v>
      </c>
      <c r="C20" s="10">
        <f>(C12)</f>
        <v>-93000</v>
      </c>
      <c r="D20" s="10">
        <f t="shared" si="2"/>
        <v>0</v>
      </c>
      <c r="E20" s="10">
        <f t="shared" si="2"/>
        <v>-20000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53000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7122.124274349603</v>
      </c>
      <c r="E22" s="10">
        <f>-(Financiamiento!E16)</f>
        <v>8546.549129219524</v>
      </c>
      <c r="F22" s="10">
        <f>-(Financiamiento!E17)</f>
        <v>10255.858955063428</v>
      </c>
      <c r="G22" s="10">
        <f>-(Financiamiento!E18)</f>
        <v>12307.030746076112</v>
      </c>
      <c r="H22" s="27">
        <f>-(Financiamiento!E19)</f>
        <v>14768.436895291336</v>
      </c>
      <c r="I22" s="77" t="s">
        <v>102</v>
      </c>
      <c r="J22" s="76">
        <f>SUM(C22:H22)</f>
        <v>53000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-40000</v>
      </c>
      <c r="D23" s="30">
        <f>(D17+D18+D19+D20-D21-D22)</f>
        <v>73677.8757256504</v>
      </c>
      <c r="E23" s="30">
        <f>(E17+E18+E19+E20-E21-E22)</f>
        <v>60877.8757256504</v>
      </c>
      <c r="F23" s="30">
        <f>(F17+F18+F19+F20-F21-F22)</f>
        <v>70877.8757256504</v>
      </c>
      <c r="G23" s="30">
        <f>(G17+G18+G19+G20-G21-G22)</f>
        <v>120977.8757256504</v>
      </c>
      <c r="H23" s="30">
        <f>(H17+H18+H19+H20-H21-H22)</f>
        <v>68277.8757256504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1.7851735346251685</v>
      </c>
      <c r="L24" s="83">
        <f>NPV(L18,D23:H23)+C23</f>
        <v>138458.57718829985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-53000</v>
      </c>
      <c r="D25" s="30">
        <f t="shared" si="3"/>
        <v>17722.124274349597</v>
      </c>
      <c r="E25" s="30">
        <f t="shared" si="3"/>
        <v>17722.124274349597</v>
      </c>
      <c r="F25" s="30">
        <f t="shared" si="3"/>
        <v>17722.124274349597</v>
      </c>
      <c r="G25" s="30">
        <f t="shared" si="3"/>
        <v>17722.124274349597</v>
      </c>
      <c r="H25" s="30">
        <f t="shared" si="3"/>
        <v>17722.124274349597</v>
      </c>
      <c r="I25" s="69"/>
      <c r="J25" s="80">
        <f>NPV(L25,C25:H25)</f>
        <v>-7.579122514774403E-12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0.19999999999983986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77" t="s">
        <v>25</v>
      </c>
      <c r="C29" s="380" t="s">
        <v>26</v>
      </c>
      <c r="D29" s="51"/>
      <c r="E29" s="380" t="s">
        <v>27</v>
      </c>
      <c r="F29" s="14"/>
      <c r="G29" s="14"/>
      <c r="H29" s="14"/>
    </row>
    <row r="30" spans="1:8" ht="15">
      <c r="A30" s="6"/>
      <c r="B30" s="378"/>
      <c r="C30" s="380"/>
      <c r="D30" s="50"/>
      <c r="E30" s="380"/>
      <c r="F30" s="14"/>
      <c r="G30" s="14"/>
      <c r="H30" s="14"/>
    </row>
    <row r="31" spans="1:8" ht="15">
      <c r="A31" s="6"/>
      <c r="B31" s="379"/>
      <c r="C31" s="380"/>
      <c r="D31" s="50"/>
      <c r="E31" s="380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0.9405810443292046</v>
      </c>
      <c r="D32" s="52"/>
      <c r="E32" s="15">
        <f>IRR(C23:H23)</f>
        <v>1.7851735346251685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67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226226.4657119735</v>
      </c>
      <c r="D35" s="368"/>
      <c r="E35" s="45">
        <f aca="true" t="shared" si="5" ref="E35:E45">NPV(B35,$D$23:$H$23)+$C$23</f>
        <v>219819.15647812083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135869.31345325656</v>
      </c>
      <c r="D36" s="368"/>
      <c r="E36" s="45">
        <f t="shared" si="5"/>
        <v>145705.8436260929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81274.42158408582</v>
      </c>
      <c r="D37" s="368"/>
      <c r="E37" s="45">
        <f t="shared" si="5"/>
        <v>101036.09361048983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45824.52392578125</v>
      </c>
      <c r="D38" s="368"/>
      <c r="E38" s="45">
        <f t="shared" si="5"/>
        <v>72104.50592729976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21453.88231094186</v>
      </c>
      <c r="D39" s="368"/>
      <c r="E39" s="45">
        <f t="shared" si="5"/>
        <v>52264.057640898856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3911.6073307246697</v>
      </c>
      <c r="D40" s="368"/>
      <c r="E40" s="45">
        <f t="shared" si="5"/>
        <v>38015.61104061142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-9198.42473515941</v>
      </c>
      <c r="D41" s="368"/>
      <c r="E41" s="45">
        <f t="shared" si="5"/>
        <v>27389.54546562172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-19304.465666155447</v>
      </c>
      <c r="D42" s="368"/>
      <c r="E42" s="45">
        <f t="shared" si="5"/>
        <v>19213.661106570093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-27298.917665122746</v>
      </c>
      <c r="D43" s="368"/>
      <c r="E43" s="63">
        <f t="shared" si="5"/>
        <v>12756.747959918284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127020.59420995205</v>
      </c>
      <c r="D44" s="57"/>
      <c r="E44" s="62"/>
      <c r="F44" s="369" t="s">
        <v>91</v>
      </c>
      <c r="G44" s="370"/>
      <c r="H44" s="370"/>
      <c r="I44" s="370"/>
    </row>
    <row r="45" spans="1:9" ht="15.75">
      <c r="A45" s="4"/>
      <c r="B45" s="56">
        <v>0.264</v>
      </c>
      <c r="C45" s="55"/>
      <c r="D45" s="58"/>
      <c r="E45" s="55">
        <f t="shared" si="5"/>
        <v>160044.74646136776</v>
      </c>
      <c r="F45" s="369" t="s">
        <v>92</v>
      </c>
      <c r="G45" s="370"/>
      <c r="H45" s="370"/>
      <c r="I45" s="370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4" t="s">
        <v>47</v>
      </c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5"/>
      <c r="O48" s="54" t="s">
        <v>76</v>
      </c>
    </row>
    <row r="49" spans="2:15" ht="12.75" customHeight="1">
      <c r="B49" s="391" t="s">
        <v>22</v>
      </c>
      <c r="C49" s="387" t="s">
        <v>46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48" t="s">
        <v>47</v>
      </c>
    </row>
    <row r="50" spans="2:15" ht="13.5" customHeight="1">
      <c r="B50" s="393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7220.833333333334</v>
      </c>
      <c r="D51" s="10">
        <f>'Cuadro de Resultados'!D13</f>
        <v>3720.8333333333335</v>
      </c>
      <c r="E51" s="10">
        <f>'Cuadro de Resultados'!E13</f>
        <v>12720.833333333332</v>
      </c>
      <c r="F51" s="10">
        <f>'Cuadro de Resultados'!F13</f>
        <v>12720.833333333332</v>
      </c>
      <c r="G51" s="10">
        <f>'Cuadro de Resultados'!G13</f>
        <v>5636.041666666666</v>
      </c>
      <c r="H51" s="10">
        <f>'Cuadro de Resultados'!H13</f>
        <v>5441.041666666666</v>
      </c>
      <c r="I51" s="10">
        <f>'Cuadro de Resultados'!I13</f>
        <v>5311.041666666666</v>
      </c>
      <c r="J51" s="10">
        <f>'Cuadro de Resultados'!J13</f>
        <v>5311.041666666666</v>
      </c>
      <c r="K51" s="10">
        <f>'Cuadro de Resultados'!K13</f>
        <v>4986.041666666666</v>
      </c>
      <c r="L51" s="10">
        <f>'Cuadro de Resultados'!L13</f>
        <v>4986.041666666666</v>
      </c>
      <c r="M51" s="10">
        <f>'Cuadro de Resultados'!M13</f>
        <v>4856.041666666666</v>
      </c>
      <c r="N51" s="10">
        <f>'Cuadro de Resultados'!N13</f>
        <v>4856.041666666666</v>
      </c>
      <c r="O51" s="27">
        <f>SUM(C51:N51)</f>
        <v>77766.66666666666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3034.791666666666</v>
      </c>
      <c r="H52" s="10">
        <f>'Cuadro de Resultados'!H12</f>
        <v>2929.791666666666</v>
      </c>
      <c r="I52" s="10">
        <f>'Cuadro de Resultados'!I12</f>
        <v>2859.7916666666665</v>
      </c>
      <c r="J52" s="10">
        <f>'Cuadro de Resultados'!J12</f>
        <v>2859.7916666666665</v>
      </c>
      <c r="K52" s="10">
        <f>'Cuadro de Resultados'!K12</f>
        <v>2684.7916666666665</v>
      </c>
      <c r="L52" s="10">
        <f>'Cuadro de Resultados'!L12</f>
        <v>2684.7916666666665</v>
      </c>
      <c r="M52" s="10">
        <f>'Cuadro de Resultados'!M12</f>
        <v>2614.7916666666665</v>
      </c>
      <c r="N52" s="10">
        <f>'Cuadro de Resultados'!N12</f>
        <v>2614.7916666666665</v>
      </c>
      <c r="O52" s="27">
        <f aca="true" t="shared" si="6" ref="O52:O63">SUM(C52:N52)</f>
        <v>22283.333333333332</v>
      </c>
    </row>
    <row r="53" spans="2:15" ht="15">
      <c r="B53" s="28" t="s">
        <v>74</v>
      </c>
      <c r="C53" s="10">
        <f>'Cuadro de Resultados'!C10</f>
        <v>883.3333333333334</v>
      </c>
      <c r="D53" s="10">
        <f>'Cuadro de Resultados'!D10</f>
        <v>883.3333333333334</v>
      </c>
      <c r="E53" s="10">
        <f>'Cuadro de Resultados'!E10</f>
        <v>883.3333333333334</v>
      </c>
      <c r="F53" s="10">
        <f>'Cuadro de Resultados'!F10</f>
        <v>883.3333333333334</v>
      </c>
      <c r="G53" s="10">
        <f>'Cuadro de Resultados'!G10</f>
        <v>883.3333333333334</v>
      </c>
      <c r="H53" s="10">
        <f>'Cuadro de Resultados'!H10</f>
        <v>883.3333333333334</v>
      </c>
      <c r="I53" s="10">
        <f>'Cuadro de Resultados'!I10</f>
        <v>883.3333333333334</v>
      </c>
      <c r="J53" s="10">
        <f>'Cuadro de Resultados'!J10</f>
        <v>883.3333333333334</v>
      </c>
      <c r="K53" s="10">
        <f>'Cuadro de Resultados'!K10</f>
        <v>883.3333333333334</v>
      </c>
      <c r="L53" s="10">
        <f>'Cuadro de Resultados'!L10</f>
        <v>883.3333333333334</v>
      </c>
      <c r="M53" s="10">
        <f>'Cuadro de Resultados'!M10</f>
        <v>883.3333333333334</v>
      </c>
      <c r="N53" s="10">
        <f>'Cuadro de Resultados'!N10</f>
        <v>883.3333333333334</v>
      </c>
      <c r="O53" s="27">
        <f t="shared" si="6"/>
        <v>10600</v>
      </c>
    </row>
    <row r="54" spans="2:15" ht="15">
      <c r="B54" s="26" t="s">
        <v>30</v>
      </c>
      <c r="C54" s="10">
        <f aca="true" t="shared" si="7" ref="C54:N54">SUM(C51:C53)</f>
        <v>8104.166666666667</v>
      </c>
      <c r="D54" s="10">
        <f t="shared" si="7"/>
        <v>4604.166666666667</v>
      </c>
      <c r="E54" s="10">
        <f t="shared" si="7"/>
        <v>13604.166666666666</v>
      </c>
      <c r="F54" s="10">
        <f t="shared" si="7"/>
        <v>13604.166666666666</v>
      </c>
      <c r="G54" s="10">
        <f t="shared" si="7"/>
        <v>9554.166666666666</v>
      </c>
      <c r="H54" s="10">
        <f t="shared" si="7"/>
        <v>9254.166666666666</v>
      </c>
      <c r="I54" s="10">
        <f t="shared" si="7"/>
        <v>9054.166666666666</v>
      </c>
      <c r="J54" s="10">
        <f t="shared" si="7"/>
        <v>9054.166666666666</v>
      </c>
      <c r="K54" s="10">
        <f t="shared" si="7"/>
        <v>8554.166666666666</v>
      </c>
      <c r="L54" s="10">
        <f t="shared" si="7"/>
        <v>8554.166666666666</v>
      </c>
      <c r="M54" s="10">
        <f t="shared" si="7"/>
        <v>8354.166666666666</v>
      </c>
      <c r="N54" s="10">
        <f t="shared" si="7"/>
        <v>8354.166666666666</v>
      </c>
      <c r="O54" s="27">
        <f t="shared" si="6"/>
        <v>110650.00000000001</v>
      </c>
    </row>
    <row r="55" spans="2:15" ht="15">
      <c r="B55" s="28" t="s">
        <v>23</v>
      </c>
      <c r="C55" s="10">
        <f>'Cuadro de Resultados'!C9</f>
        <v>395.8333333333333</v>
      </c>
      <c r="D55" s="10">
        <f>'Cuadro de Resultados'!D9</f>
        <v>395.8333333333333</v>
      </c>
      <c r="E55" s="10">
        <f>'Cuadro de Resultados'!E9</f>
        <v>395.8333333333333</v>
      </c>
      <c r="F55" s="10">
        <f>'Cuadro de Resultados'!F9</f>
        <v>395.8333333333333</v>
      </c>
      <c r="G55" s="10">
        <f>'Cuadro de Resultados'!G9</f>
        <v>395.8333333333333</v>
      </c>
      <c r="H55" s="10">
        <f>'Cuadro de Resultados'!H9</f>
        <v>395.8333333333333</v>
      </c>
      <c r="I55" s="10">
        <f>'Cuadro de Resultados'!I9</f>
        <v>395.8333333333333</v>
      </c>
      <c r="J55" s="10">
        <f>'Cuadro de Resultados'!J9</f>
        <v>395.8333333333333</v>
      </c>
      <c r="K55" s="10">
        <f>'Cuadro de Resultados'!K9</f>
        <v>395.8333333333333</v>
      </c>
      <c r="L55" s="10">
        <f>'Cuadro de Resultados'!L9</f>
        <v>395.8333333333333</v>
      </c>
      <c r="M55" s="10">
        <f>'Cuadro de Resultados'!M9</f>
        <v>395.8333333333333</v>
      </c>
      <c r="N55" s="10">
        <f>'Cuadro de Resultados'!N9</f>
        <v>395.8333333333333</v>
      </c>
      <c r="O55" s="27">
        <f t="shared" si="6"/>
        <v>4750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8500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115400.00000000001</v>
      </c>
    </row>
    <row r="58" spans="2:15" ht="12.75" customHeight="1">
      <c r="B58" s="388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90"/>
    </row>
    <row r="59" spans="2:15" ht="12.75" customHeight="1">
      <c r="B59" s="391" t="s">
        <v>24</v>
      </c>
      <c r="C59" s="387" t="s">
        <v>46</v>
      </c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48" t="s">
        <v>47</v>
      </c>
    </row>
    <row r="60" spans="2:15" ht="13.5" customHeight="1">
      <c r="B60" s="392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7220.833333333334</v>
      </c>
      <c r="D61" s="10">
        <f>(D51)</f>
        <v>3720.8333333333335</v>
      </c>
      <c r="E61" s="10">
        <f>(E51)</f>
        <v>12720.833333333332</v>
      </c>
      <c r="F61" s="10">
        <f>(F51)</f>
        <v>12720.833333333332</v>
      </c>
      <c r="G61" s="10">
        <f>(G51)</f>
        <v>5636.041666666666</v>
      </c>
      <c r="H61" s="10">
        <f aca="true" t="shared" si="9" ref="H61:N61">(H51)</f>
        <v>5441.041666666666</v>
      </c>
      <c r="I61" s="10">
        <f t="shared" si="9"/>
        <v>5311.041666666666</v>
      </c>
      <c r="J61" s="10">
        <f t="shared" si="9"/>
        <v>5311.041666666666</v>
      </c>
      <c r="K61" s="10">
        <f t="shared" si="9"/>
        <v>4986.041666666666</v>
      </c>
      <c r="L61" s="10">
        <f t="shared" si="9"/>
        <v>4986.041666666666</v>
      </c>
      <c r="M61" s="10">
        <f t="shared" si="9"/>
        <v>4856.041666666666</v>
      </c>
      <c r="N61" s="10">
        <f t="shared" si="9"/>
        <v>4856.041666666666</v>
      </c>
      <c r="O61" s="27">
        <f t="shared" si="6"/>
        <v>77766.66666666666</v>
      </c>
    </row>
    <row r="62" spans="2:15" ht="15">
      <c r="B62" s="28" t="s">
        <v>23</v>
      </c>
      <c r="C62" s="10">
        <f>(C55)</f>
        <v>395.8333333333333</v>
      </c>
      <c r="D62" s="10">
        <f>(D55)</f>
        <v>395.8333333333333</v>
      </c>
      <c r="E62" s="10">
        <f>(E55)</f>
        <v>395.8333333333333</v>
      </c>
      <c r="F62" s="10">
        <f>(F55)</f>
        <v>395.8333333333333</v>
      </c>
      <c r="G62" s="10">
        <f>(G55)</f>
        <v>395.8333333333333</v>
      </c>
      <c r="H62" s="10">
        <f aca="true" t="shared" si="10" ref="H62:N62">(H55)</f>
        <v>395.8333333333333</v>
      </c>
      <c r="I62" s="10">
        <f t="shared" si="10"/>
        <v>395.8333333333333</v>
      </c>
      <c r="J62" s="10">
        <f t="shared" si="10"/>
        <v>395.8333333333333</v>
      </c>
      <c r="K62" s="10">
        <f t="shared" si="10"/>
        <v>395.8333333333333</v>
      </c>
      <c r="L62" s="10">
        <f t="shared" si="10"/>
        <v>395.8333333333333</v>
      </c>
      <c r="M62" s="10">
        <f t="shared" si="10"/>
        <v>395.8333333333333</v>
      </c>
      <c r="N62" s="10">
        <f t="shared" si="10"/>
        <v>395.8333333333333</v>
      </c>
      <c r="O62" s="27">
        <f t="shared" si="6"/>
        <v>4750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-7122.124274349603</v>
      </c>
    </row>
    <row r="66" spans="2:15" ht="22.5" customHeight="1" thickBot="1">
      <c r="B66" s="29" t="s">
        <v>24</v>
      </c>
      <c r="C66" s="30">
        <f aca="true" t="shared" si="11" ref="C66:N66">(C61+C62+C63-C64-C65)</f>
        <v>7616.666666666667</v>
      </c>
      <c r="D66" s="30">
        <f t="shared" si="11"/>
        <v>4116.666666666667</v>
      </c>
      <c r="E66" s="30">
        <f t="shared" si="11"/>
        <v>13116.666666666666</v>
      </c>
      <c r="F66" s="30">
        <f t="shared" si="11"/>
        <v>13116.666666666666</v>
      </c>
      <c r="G66" s="30">
        <f t="shared" si="11"/>
        <v>6031.874999999999</v>
      </c>
      <c r="H66" s="30">
        <f t="shared" si="11"/>
        <v>5836.874999999999</v>
      </c>
      <c r="I66" s="30">
        <f t="shared" si="11"/>
        <v>5706.874999999999</v>
      </c>
      <c r="J66" s="30">
        <f t="shared" si="11"/>
        <v>5706.874999999999</v>
      </c>
      <c r="K66" s="30">
        <f t="shared" si="11"/>
        <v>5381.874999999999</v>
      </c>
      <c r="L66" s="30">
        <f t="shared" si="11"/>
        <v>5381.874999999999</v>
      </c>
      <c r="M66" s="30">
        <f t="shared" si="11"/>
        <v>5251.874999999999</v>
      </c>
      <c r="N66" s="30">
        <f t="shared" si="11"/>
        <v>5251.874999999999</v>
      </c>
      <c r="O66" s="31">
        <f>SUM(O61:O65)</f>
        <v>75394.54239231706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D34:D43"/>
    <mergeCell ref="F44:I44"/>
    <mergeCell ref="F45:I45"/>
    <mergeCell ref="G5:G6"/>
    <mergeCell ref="H15:H16"/>
    <mergeCell ref="E15:E16"/>
    <mergeCell ref="F15:F16"/>
    <mergeCell ref="G15:G16"/>
    <mergeCell ref="H5:H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2011-09-20T21:04:25Z</cp:lastPrinted>
  <dcterms:created xsi:type="dcterms:W3CDTF">2005-05-05T13:20:42Z</dcterms:created>
  <dcterms:modified xsi:type="dcterms:W3CDTF">2019-05-26T13:36:22Z</dcterms:modified>
  <cp:category/>
  <cp:version/>
  <cp:contentType/>
  <cp:contentStatus/>
</cp:coreProperties>
</file>